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moncefmidoun/Desktop/"/>
    </mc:Choice>
  </mc:AlternateContent>
  <xr:revisionPtr revIDLastSave="0" documentId="8_{69E99CAE-D7DA-BD4F-A73D-876CA67725C9}" xr6:coauthVersionLast="47" xr6:coauthVersionMax="47" xr10:uidLastSave="{00000000-0000-0000-0000-000000000000}"/>
  <bookViews>
    <workbookView xWindow="0" yWindow="760" windowWidth="34200" windowHeight="21380" tabRatio="500" xr2:uid="{00000000-000D-0000-FFFF-FFFF00000000}"/>
  </bookViews>
  <sheets>
    <sheet name="Balance Sheet" sheetId="1" r:id="rId1"/>
    <sheet name="Income Statement" sheetId="2" r:id="rId2"/>
    <sheet name="P&amp;L" sheetId="3" r:id="rId3"/>
    <sheet name="Cash Flow" sheetId="4" r:id="rId4"/>
    <sheet name="Miscellaneous " sheetId="5" r:id="rId5"/>
    <sheet name="Invested Capital" sheetId="6" r:id="rId6"/>
    <sheet name="Enterprise Value" sheetId="7" r:id="rId7"/>
    <sheet name="Projections" sheetId="8" r:id="rId8"/>
    <sheet name="WACC" sheetId="9" r:id="rId9"/>
    <sheet name="FCF_Projections central" sheetId="10" r:id="rId10"/>
    <sheet name="FCF_Projections pessimiste" sheetId="11" r:id="rId11"/>
    <sheet name="FCF _Projections optimistes " sheetId="12" r:id="rId12"/>
    <sheet name="relative valuation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9" l="1"/>
  <c r="B221" i="8"/>
  <c r="B220" i="8"/>
  <c r="B10" i="5"/>
  <c r="B58" i="4"/>
  <c r="D189" i="8"/>
  <c r="E189" i="8"/>
  <c r="F189" i="8"/>
  <c r="G65" i="8"/>
  <c r="G60" i="8"/>
  <c r="G123" i="8" s="1"/>
  <c r="G44" i="8"/>
  <c r="G114" i="8" s="1"/>
  <c r="G42" i="8"/>
  <c r="H42" i="8" s="1"/>
  <c r="G43" i="8"/>
  <c r="G113" i="8" s="1"/>
  <c r="G18" i="8"/>
  <c r="H18" i="8" s="1"/>
  <c r="I18" i="8" s="1"/>
  <c r="J18" i="8" s="1"/>
  <c r="K18" i="8" s="1"/>
  <c r="G27" i="8"/>
  <c r="G103" i="8" s="1"/>
  <c r="G25" i="8"/>
  <c r="G26" i="8"/>
  <c r="G102" i="8" s="1"/>
  <c r="G19" i="8"/>
  <c r="H19" i="8" s="1"/>
  <c r="I19" i="8" s="1"/>
  <c r="J19" i="8" s="1"/>
  <c r="K19" i="8" s="1"/>
  <c r="G17" i="8"/>
  <c r="H17" i="8" s="1"/>
  <c r="I17" i="8" s="1"/>
  <c r="J17" i="8" s="1"/>
  <c r="K17" i="8" s="1"/>
  <c r="B48" i="4"/>
  <c r="F5" i="3"/>
  <c r="F26" i="13"/>
  <c r="F25" i="13"/>
  <c r="F23" i="13"/>
  <c r="F22" i="13"/>
  <c r="F17" i="13"/>
  <c r="F18" i="13"/>
  <c r="L55" i="10"/>
  <c r="E22" i="13"/>
  <c r="E26" i="13"/>
  <c r="E25" i="13"/>
  <c r="E18" i="13"/>
  <c r="D22" i="13"/>
  <c r="D23" i="13" s="1"/>
  <c r="E23" i="13" s="1"/>
  <c r="E17" i="13"/>
  <c r="B18" i="13"/>
  <c r="E5" i="13"/>
  <c r="E6" i="13"/>
  <c r="E7" i="13"/>
  <c r="E8" i="13"/>
  <c r="E9" i="13"/>
  <c r="E12" i="13"/>
  <c r="H10" i="13"/>
  <c r="B17" i="13"/>
  <c r="G11" i="13"/>
  <c r="G10" i="13"/>
  <c r="F17" i="7"/>
  <c r="F15" i="7"/>
  <c r="B93" i="10"/>
  <c r="B91" i="10"/>
  <c r="B83" i="10"/>
  <c r="L51" i="11"/>
  <c r="K12" i="11"/>
  <c r="J12" i="11"/>
  <c r="I12" i="11"/>
  <c r="H12" i="11"/>
  <c r="G12" i="11"/>
  <c r="F8" i="11"/>
  <c r="E8" i="11"/>
  <c r="D8" i="11"/>
  <c r="C8" i="11"/>
  <c r="B8" i="11"/>
  <c r="F6" i="11"/>
  <c r="K14" i="10"/>
  <c r="J14" i="10"/>
  <c r="I14" i="10"/>
  <c r="H14" i="10"/>
  <c r="G14" i="10"/>
  <c r="F9" i="10"/>
  <c r="E9" i="10"/>
  <c r="D9" i="10"/>
  <c r="C9" i="10"/>
  <c r="B9" i="10"/>
  <c r="F7" i="10"/>
  <c r="B15" i="9"/>
  <c r="B9" i="9"/>
  <c r="B11" i="9" s="1"/>
  <c r="F248" i="8"/>
  <c r="E248" i="8"/>
  <c r="D248" i="8"/>
  <c r="C248" i="8"/>
  <c r="B248" i="8"/>
  <c r="F247" i="8"/>
  <c r="E247" i="8"/>
  <c r="D247" i="8"/>
  <c r="C247" i="8"/>
  <c r="B247" i="8"/>
  <c r="F246" i="8"/>
  <c r="E246" i="8"/>
  <c r="D246" i="8"/>
  <c r="C246" i="8"/>
  <c r="B246" i="8"/>
  <c r="F245" i="8"/>
  <c r="E245" i="8"/>
  <c r="D245" i="8"/>
  <c r="C245" i="8"/>
  <c r="B245" i="8"/>
  <c r="C244" i="8"/>
  <c r="B244" i="8"/>
  <c r="F240" i="8"/>
  <c r="E240" i="8"/>
  <c r="D240" i="8"/>
  <c r="C240" i="8"/>
  <c r="B240" i="8"/>
  <c r="F239" i="8"/>
  <c r="E239" i="8"/>
  <c r="D239" i="8"/>
  <c r="C239" i="8"/>
  <c r="B239" i="8"/>
  <c r="F238" i="8"/>
  <c r="E238" i="8"/>
  <c r="D238" i="8"/>
  <c r="C238" i="8"/>
  <c r="B238" i="8"/>
  <c r="B241" i="8" s="1"/>
  <c r="F237" i="8"/>
  <c r="E237" i="8"/>
  <c r="D237" i="8"/>
  <c r="C237" i="8"/>
  <c r="B237" i="8"/>
  <c r="E236" i="8"/>
  <c r="C236" i="8"/>
  <c r="B236" i="8"/>
  <c r="F232" i="8"/>
  <c r="E232" i="8"/>
  <c r="D232" i="8"/>
  <c r="C232" i="8"/>
  <c r="B232" i="8"/>
  <c r="F231" i="8"/>
  <c r="E231" i="8"/>
  <c r="D231" i="8"/>
  <c r="C231" i="8"/>
  <c r="B231" i="8"/>
  <c r="F230" i="8"/>
  <c r="E230" i="8"/>
  <c r="D230" i="8"/>
  <c r="C230" i="8"/>
  <c r="B230" i="8"/>
  <c r="F229" i="8"/>
  <c r="E229" i="8"/>
  <c r="D229" i="8"/>
  <c r="C229" i="8"/>
  <c r="B229" i="8"/>
  <c r="C228" i="8"/>
  <c r="B228" i="8"/>
  <c r="F209" i="8"/>
  <c r="E209" i="8"/>
  <c r="D209" i="8"/>
  <c r="D216" i="8" s="1"/>
  <c r="C209" i="8"/>
  <c r="C216" i="8" s="1"/>
  <c r="B209" i="8"/>
  <c r="B216" i="8" s="1"/>
  <c r="F208" i="8"/>
  <c r="E208" i="8"/>
  <c r="D208" i="8"/>
  <c r="C208" i="8"/>
  <c r="C215" i="8" s="1"/>
  <c r="B208" i="8"/>
  <c r="B215" i="8" s="1"/>
  <c r="F207" i="8"/>
  <c r="F214" i="8" s="1"/>
  <c r="E207" i="8"/>
  <c r="D207" i="8"/>
  <c r="C207" i="8"/>
  <c r="B207" i="8"/>
  <c r="B214" i="8" s="1"/>
  <c r="F169" i="8"/>
  <c r="G180" i="8" s="1"/>
  <c r="G12" i="10" s="1"/>
  <c r="E169" i="8"/>
  <c r="D169" i="8"/>
  <c r="C169" i="8"/>
  <c r="B169" i="8"/>
  <c r="F168" i="8"/>
  <c r="E168" i="8"/>
  <c r="D168" i="8"/>
  <c r="C168" i="8"/>
  <c r="B168" i="8"/>
  <c r="F148" i="8"/>
  <c r="E148" i="8"/>
  <c r="D148" i="8"/>
  <c r="C148" i="8"/>
  <c r="B148" i="8"/>
  <c r="F132" i="8"/>
  <c r="F129" i="8"/>
  <c r="E129" i="8"/>
  <c r="D129" i="8"/>
  <c r="C129" i="8"/>
  <c r="B129" i="8"/>
  <c r="K125" i="8"/>
  <c r="J125" i="8"/>
  <c r="I125" i="8"/>
  <c r="H125" i="8"/>
  <c r="K124" i="8"/>
  <c r="J124" i="8"/>
  <c r="I124" i="8"/>
  <c r="H124" i="8"/>
  <c r="H123" i="8"/>
  <c r="F123" i="8"/>
  <c r="F124" i="8" s="1"/>
  <c r="F125" i="8" s="1"/>
  <c r="E123" i="8"/>
  <c r="E124" i="8" s="1"/>
  <c r="E125" i="8" s="1"/>
  <c r="F112" i="8"/>
  <c r="F113" i="8" s="1"/>
  <c r="F114" i="8" s="1"/>
  <c r="E112" i="8"/>
  <c r="E113" i="8" s="1"/>
  <c r="E114" i="8" s="1"/>
  <c r="D101" i="8"/>
  <c r="D102" i="8" s="1"/>
  <c r="D103" i="8" s="1"/>
  <c r="C101" i="8"/>
  <c r="C102" i="8" s="1"/>
  <c r="C103" i="8" s="1"/>
  <c r="B101" i="8"/>
  <c r="B102" i="8" s="1"/>
  <c r="B103" i="8" s="1"/>
  <c r="I92" i="8"/>
  <c r="H92" i="8"/>
  <c r="G92" i="8"/>
  <c r="K90" i="8"/>
  <c r="J90" i="8"/>
  <c r="I90" i="8"/>
  <c r="H90" i="8"/>
  <c r="G90" i="8"/>
  <c r="F76" i="8"/>
  <c r="E76" i="8"/>
  <c r="D76" i="8"/>
  <c r="C76" i="8"/>
  <c r="B76" i="8"/>
  <c r="F75" i="8"/>
  <c r="E75" i="8"/>
  <c r="D75" i="8"/>
  <c r="C75" i="8"/>
  <c r="B75" i="8"/>
  <c r="F74" i="8"/>
  <c r="E74" i="8"/>
  <c r="D74" i="8"/>
  <c r="C74" i="8"/>
  <c r="B74" i="8"/>
  <c r="F66" i="8"/>
  <c r="F65" i="8"/>
  <c r="F64" i="8"/>
  <c r="F48" i="8"/>
  <c r="F47" i="8"/>
  <c r="F46" i="8"/>
  <c r="J10" i="8"/>
  <c r="G9" i="8"/>
  <c r="H9" i="8" s="1"/>
  <c r="E17" i="7"/>
  <c r="D17" i="7"/>
  <c r="C17" i="7"/>
  <c r="B17" i="7"/>
  <c r="F13" i="7"/>
  <c r="E13" i="7"/>
  <c r="D13" i="7"/>
  <c r="C13" i="7"/>
  <c r="B13" i="7"/>
  <c r="F12" i="7"/>
  <c r="E12" i="7"/>
  <c r="D12" i="7"/>
  <c r="C12" i="7"/>
  <c r="B12" i="7"/>
  <c r="F11" i="7"/>
  <c r="E11" i="7"/>
  <c r="D11" i="7"/>
  <c r="C11" i="7"/>
  <c r="B11" i="7"/>
  <c r="F10" i="7"/>
  <c r="E10" i="7"/>
  <c r="D10" i="7"/>
  <c r="C10" i="7"/>
  <c r="B10" i="7"/>
  <c r="F9" i="7"/>
  <c r="E9" i="7"/>
  <c r="D9" i="7"/>
  <c r="C9" i="7"/>
  <c r="B9" i="7"/>
  <c r="F8" i="7"/>
  <c r="E8" i="7"/>
  <c r="D8" i="7"/>
  <c r="C8" i="7"/>
  <c r="B8" i="7"/>
  <c r="F6" i="7"/>
  <c r="E6" i="7"/>
  <c r="D6" i="7"/>
  <c r="C6" i="7"/>
  <c r="B6" i="7"/>
  <c r="F5" i="7"/>
  <c r="E5" i="7"/>
  <c r="D5" i="7"/>
  <c r="D7" i="7" s="1"/>
  <c r="C5" i="7"/>
  <c r="C7" i="7" s="1"/>
  <c r="C15" i="7" s="1"/>
  <c r="C18" i="7" s="1"/>
  <c r="B5" i="7"/>
  <c r="B7" i="7" s="1"/>
  <c r="F39" i="6"/>
  <c r="E39" i="6"/>
  <c r="D39" i="6"/>
  <c r="C39" i="6"/>
  <c r="B39" i="6"/>
  <c r="F29" i="6"/>
  <c r="E29" i="6"/>
  <c r="D29" i="6"/>
  <c r="C29" i="6"/>
  <c r="B29" i="6"/>
  <c r="F22" i="6"/>
  <c r="E22" i="6"/>
  <c r="D22" i="6"/>
  <c r="C22" i="6"/>
  <c r="B22" i="6"/>
  <c r="F21" i="6"/>
  <c r="E21" i="6"/>
  <c r="D21" i="6"/>
  <c r="C21" i="6"/>
  <c r="B21" i="6"/>
  <c r="F20" i="6"/>
  <c r="E20" i="6"/>
  <c r="D20" i="6"/>
  <c r="C20" i="6"/>
  <c r="B20" i="6"/>
  <c r="E19" i="6"/>
  <c r="E24" i="6" s="1"/>
  <c r="F16" i="6"/>
  <c r="E16" i="6"/>
  <c r="D16" i="6"/>
  <c r="C16" i="6"/>
  <c r="B16" i="6"/>
  <c r="F14" i="6"/>
  <c r="E14" i="6"/>
  <c r="D14" i="6"/>
  <c r="C14" i="6"/>
  <c r="B14" i="6"/>
  <c r="B18" i="6" s="1"/>
  <c r="F13" i="6"/>
  <c r="E13" i="6"/>
  <c r="D13" i="6"/>
  <c r="C13" i="6"/>
  <c r="B13" i="6"/>
  <c r="F10" i="6"/>
  <c r="E10" i="6"/>
  <c r="D10" i="6"/>
  <c r="C10" i="6"/>
  <c r="B10" i="6"/>
  <c r="F9" i="6"/>
  <c r="E9" i="6"/>
  <c r="D9" i="6"/>
  <c r="C9" i="6"/>
  <c r="B9" i="6"/>
  <c r="F8" i="6"/>
  <c r="E8" i="6"/>
  <c r="D8" i="6"/>
  <c r="C8" i="6"/>
  <c r="B8" i="6"/>
  <c r="F7" i="6"/>
  <c r="E7" i="6"/>
  <c r="D7" i="6"/>
  <c r="D11" i="6" s="1"/>
  <c r="D25" i="6" s="1"/>
  <c r="C7" i="6"/>
  <c r="B7" i="6"/>
  <c r="D193" i="5"/>
  <c r="F192" i="5"/>
  <c r="D192" i="5"/>
  <c r="C192" i="5"/>
  <c r="C193" i="5" s="1"/>
  <c r="C191" i="5"/>
  <c r="E190" i="5"/>
  <c r="D190" i="5"/>
  <c r="C190" i="5"/>
  <c r="B190" i="5"/>
  <c r="B192" i="5" s="1"/>
  <c r="B193" i="5" s="1"/>
  <c r="D187" i="5"/>
  <c r="C187" i="5"/>
  <c r="B187" i="5"/>
  <c r="D186" i="5"/>
  <c r="C186" i="5"/>
  <c r="B186" i="5"/>
  <c r="C183" i="5"/>
  <c r="B183" i="5"/>
  <c r="E182" i="5"/>
  <c r="D181" i="5"/>
  <c r="D183" i="5" s="1"/>
  <c r="C181" i="5"/>
  <c r="B181" i="5"/>
  <c r="D169" i="5"/>
  <c r="C169" i="5"/>
  <c r="B169" i="5"/>
  <c r="D168" i="5"/>
  <c r="C168" i="5"/>
  <c r="B168" i="5"/>
  <c r="C166" i="5"/>
  <c r="B166" i="5"/>
  <c r="D164" i="5"/>
  <c r="C164" i="5"/>
  <c r="B164" i="5"/>
  <c r="E153" i="5"/>
  <c r="D153" i="5"/>
  <c r="C153" i="5"/>
  <c r="B153" i="5"/>
  <c r="D152" i="5"/>
  <c r="C152" i="5"/>
  <c r="B152" i="5"/>
  <c r="D151" i="5"/>
  <c r="C151" i="5"/>
  <c r="B151" i="5"/>
  <c r="D148" i="5"/>
  <c r="C148" i="5"/>
  <c r="E145" i="5"/>
  <c r="D145" i="5"/>
  <c r="E135" i="5" s="1"/>
  <c r="C145" i="5"/>
  <c r="B145" i="5"/>
  <c r="B148" i="5" s="1"/>
  <c r="F141" i="5"/>
  <c r="F139" i="5"/>
  <c r="D133" i="5"/>
  <c r="C133" i="5"/>
  <c r="C147" i="5" s="1"/>
  <c r="B133" i="5"/>
  <c r="B147" i="5" s="1"/>
  <c r="B149" i="5" s="1"/>
  <c r="F129" i="5"/>
  <c r="D119" i="5"/>
  <c r="C119" i="5"/>
  <c r="B119" i="5"/>
  <c r="E110" i="5"/>
  <c r="E119" i="5" s="1"/>
  <c r="F110" i="5" s="1"/>
  <c r="D107" i="5"/>
  <c r="C107" i="5"/>
  <c r="B107" i="5"/>
  <c r="F99" i="5"/>
  <c r="F107" i="5" s="1"/>
  <c r="E99" i="5"/>
  <c r="E107" i="5" s="1"/>
  <c r="D96" i="5"/>
  <c r="C96" i="5"/>
  <c r="B96" i="5"/>
  <c r="D91" i="5"/>
  <c r="B91" i="5"/>
  <c r="C90" i="5"/>
  <c r="C91" i="5" s="1"/>
  <c r="E85" i="5"/>
  <c r="E81" i="5"/>
  <c r="F79" i="5"/>
  <c r="E78" i="5"/>
  <c r="D78" i="5"/>
  <c r="C78" i="5"/>
  <c r="D81" i="5" s="1"/>
  <c r="B78" i="5"/>
  <c r="C81" i="5" s="1"/>
  <c r="F77" i="5"/>
  <c r="E77" i="5"/>
  <c r="D77" i="5"/>
  <c r="C77" i="5"/>
  <c r="F76" i="5"/>
  <c r="E72" i="5"/>
  <c r="D72" i="5"/>
  <c r="E63" i="5" s="1"/>
  <c r="C72" i="5"/>
  <c r="B72" i="5"/>
  <c r="F68" i="5"/>
  <c r="F75" i="5" s="1"/>
  <c r="F78" i="5" s="1"/>
  <c r="F66" i="5"/>
  <c r="F63" i="5"/>
  <c r="F72" i="5" s="1"/>
  <c r="E57" i="5"/>
  <c r="F52" i="5" s="1"/>
  <c r="F57" i="5" s="1"/>
  <c r="D57" i="5"/>
  <c r="C57" i="5"/>
  <c r="B57" i="5"/>
  <c r="E49" i="5"/>
  <c r="D49" i="5"/>
  <c r="C49" i="5"/>
  <c r="E44" i="5"/>
  <c r="F35" i="5" s="1"/>
  <c r="F44" i="5" s="1"/>
  <c r="D44" i="5"/>
  <c r="E35" i="5" s="1"/>
  <c r="C44" i="5"/>
  <c r="B44" i="5"/>
  <c r="F39" i="5"/>
  <c r="F47" i="5" s="1"/>
  <c r="F37" i="5"/>
  <c r="F46" i="5" s="1"/>
  <c r="C31" i="5"/>
  <c r="E26" i="5"/>
  <c r="E31" i="5" s="1"/>
  <c r="D26" i="5"/>
  <c r="D31" i="5" s="1"/>
  <c r="C26" i="5"/>
  <c r="B26" i="5"/>
  <c r="B31" i="5" s="1"/>
  <c r="E17" i="5"/>
  <c r="E22" i="5" s="1"/>
  <c r="D17" i="5"/>
  <c r="D22" i="5" s="1"/>
  <c r="C17" i="5"/>
  <c r="C22" i="5" s="1"/>
  <c r="B17" i="5"/>
  <c r="B22" i="5" s="1"/>
  <c r="C12" i="5"/>
  <c r="B12" i="5"/>
  <c r="F11" i="5"/>
  <c r="E11" i="5"/>
  <c r="D11" i="5"/>
  <c r="C11" i="5"/>
  <c r="B11" i="5"/>
  <c r="C10" i="5"/>
  <c r="F9" i="5"/>
  <c r="E9" i="5"/>
  <c r="D9" i="5"/>
  <c r="C9" i="5"/>
  <c r="B9" i="5"/>
  <c r="C8" i="5"/>
  <c r="B8" i="5"/>
  <c r="C7" i="5"/>
  <c r="B7" i="5"/>
  <c r="F6" i="5"/>
  <c r="E6" i="5"/>
  <c r="D6" i="5"/>
  <c r="C6" i="5"/>
  <c r="B6" i="5"/>
  <c r="E63" i="4"/>
  <c r="F60" i="4"/>
  <c r="F57" i="4"/>
  <c r="E57" i="4"/>
  <c r="D57" i="4"/>
  <c r="C57" i="4"/>
  <c r="B57" i="4"/>
  <c r="F48" i="4"/>
  <c r="E48" i="4"/>
  <c r="D48" i="4"/>
  <c r="C48" i="4"/>
  <c r="D30" i="4"/>
  <c r="C30" i="4"/>
  <c r="B30" i="4"/>
  <c r="F24" i="4"/>
  <c r="E24" i="4"/>
  <c r="E30" i="4" s="1"/>
  <c r="D24" i="4"/>
  <c r="C24" i="4"/>
  <c r="B24" i="4"/>
  <c r="B234" i="8" s="1"/>
  <c r="B242" i="8" s="1"/>
  <c r="B250" i="8" s="1"/>
  <c r="E20" i="4"/>
  <c r="D20" i="4"/>
  <c r="C20" i="4"/>
  <c r="B20" i="4"/>
  <c r="E15" i="4"/>
  <c r="D15" i="4"/>
  <c r="C15" i="4"/>
  <c r="B15" i="4"/>
  <c r="C8" i="4"/>
  <c r="F73" i="3"/>
  <c r="F71" i="3"/>
  <c r="F67" i="3"/>
  <c r="E67" i="3"/>
  <c r="E71" i="3" s="1"/>
  <c r="F66" i="3"/>
  <c r="E66" i="3"/>
  <c r="F59" i="3"/>
  <c r="C58" i="3"/>
  <c r="C48" i="3"/>
  <c r="F46" i="3"/>
  <c r="F36" i="3" s="1"/>
  <c r="F44" i="3"/>
  <c r="E44" i="3"/>
  <c r="E46" i="3" s="1"/>
  <c r="D44" i="3"/>
  <c r="D46" i="3" s="1"/>
  <c r="C44" i="3"/>
  <c r="C46" i="3" s="1"/>
  <c r="B44" i="3"/>
  <c r="B46" i="3" s="1"/>
  <c r="C36" i="3"/>
  <c r="C28" i="3"/>
  <c r="C30" i="3" s="1"/>
  <c r="C27" i="3"/>
  <c r="C26" i="3"/>
  <c r="D24" i="3"/>
  <c r="C24" i="3"/>
  <c r="B24" i="3"/>
  <c r="D15" i="3"/>
  <c r="C15" i="3"/>
  <c r="C13" i="3"/>
  <c r="B13" i="3"/>
  <c r="E12" i="3"/>
  <c r="C12" i="3"/>
  <c r="B12" i="3"/>
  <c r="E8" i="3"/>
  <c r="E13" i="3" s="1"/>
  <c r="C8" i="3"/>
  <c r="B8" i="3"/>
  <c r="E6" i="3"/>
  <c r="C6" i="3"/>
  <c r="E5" i="3"/>
  <c r="D5" i="3"/>
  <c r="D12" i="5" s="1"/>
  <c r="D213" i="2"/>
  <c r="D188" i="8" s="1"/>
  <c r="D14" i="12" s="1"/>
  <c r="C213" i="2"/>
  <c r="C188" i="8" s="1"/>
  <c r="C14" i="12" s="1"/>
  <c r="B213" i="2"/>
  <c r="B188" i="8" s="1"/>
  <c r="B14" i="12" s="1"/>
  <c r="F204" i="2"/>
  <c r="E204" i="2"/>
  <c r="D204" i="2"/>
  <c r="C204" i="2"/>
  <c r="F203" i="2"/>
  <c r="E203" i="2"/>
  <c r="D203" i="2"/>
  <c r="C203" i="2"/>
  <c r="B203" i="2"/>
  <c r="B204" i="2" s="1"/>
  <c r="F202" i="2"/>
  <c r="E202" i="2"/>
  <c r="D202" i="2"/>
  <c r="C202" i="2"/>
  <c r="F201" i="2"/>
  <c r="E201" i="2"/>
  <c r="D201" i="2"/>
  <c r="D195" i="2"/>
  <c r="C195" i="2"/>
  <c r="B195" i="2"/>
  <c r="F193" i="2"/>
  <c r="E193" i="2"/>
  <c r="F191" i="2"/>
  <c r="F195" i="2" s="1"/>
  <c r="E191" i="2"/>
  <c r="E195" i="2" s="1"/>
  <c r="D191" i="2"/>
  <c r="C191" i="2"/>
  <c r="B191" i="2"/>
  <c r="F184" i="2"/>
  <c r="E184" i="2"/>
  <c r="D184" i="2"/>
  <c r="C184" i="2"/>
  <c r="F179" i="2"/>
  <c r="E179" i="2"/>
  <c r="D179" i="2"/>
  <c r="C178" i="2"/>
  <c r="C179" i="2" s="1"/>
  <c r="B178" i="2"/>
  <c r="B179" i="2" s="1"/>
  <c r="F174" i="2"/>
  <c r="E174" i="2"/>
  <c r="D174" i="2"/>
  <c r="C174" i="2"/>
  <c r="B174" i="2"/>
  <c r="F173" i="2"/>
  <c r="E173" i="2"/>
  <c r="D173" i="2"/>
  <c r="C173" i="2"/>
  <c r="B173" i="2"/>
  <c r="F170" i="2"/>
  <c r="E170" i="2"/>
  <c r="D170" i="2"/>
  <c r="D169" i="2"/>
  <c r="C169" i="2"/>
  <c r="B169" i="2"/>
  <c r="F167" i="2"/>
  <c r="E167" i="2"/>
  <c r="D167" i="2"/>
  <c r="D166" i="2"/>
  <c r="C166" i="2"/>
  <c r="B166" i="2"/>
  <c r="D161" i="2"/>
  <c r="C161" i="2"/>
  <c r="B161" i="2"/>
  <c r="E160" i="2"/>
  <c r="D159" i="2"/>
  <c r="C159" i="2"/>
  <c r="E155" i="2"/>
  <c r="D155" i="2"/>
  <c r="C155" i="2"/>
  <c r="B155" i="2"/>
  <c r="F154" i="2"/>
  <c r="F153" i="2"/>
  <c r="E153" i="2"/>
  <c r="E169" i="2" s="1"/>
  <c r="D153" i="2"/>
  <c r="C153" i="2"/>
  <c r="B153" i="2"/>
  <c r="F151" i="2"/>
  <c r="E151" i="2"/>
  <c r="D151" i="2"/>
  <c r="F150" i="2"/>
  <c r="E150" i="2"/>
  <c r="D150" i="2"/>
  <c r="C150" i="2"/>
  <c r="B150" i="2"/>
  <c r="D147" i="2"/>
  <c r="D28" i="3" s="1"/>
  <c r="D30" i="3" s="1"/>
  <c r="C147" i="2"/>
  <c r="B147" i="2"/>
  <c r="B28" i="3" s="1"/>
  <c r="F146" i="2"/>
  <c r="F160" i="2" s="1"/>
  <c r="E146" i="2"/>
  <c r="F145" i="2"/>
  <c r="E145" i="2"/>
  <c r="D145" i="2"/>
  <c r="C145" i="2"/>
  <c r="F144" i="2"/>
  <c r="E144" i="2"/>
  <c r="C144" i="2"/>
  <c r="F141" i="2"/>
  <c r="E141" i="2"/>
  <c r="B140" i="2"/>
  <c r="B158" i="2" s="1"/>
  <c r="B96" i="8" s="1"/>
  <c r="B97" i="8" s="1"/>
  <c r="B98" i="8" s="1"/>
  <c r="F139" i="2"/>
  <c r="E139" i="2"/>
  <c r="D139" i="2"/>
  <c r="D140" i="2" s="1"/>
  <c r="C139" i="2"/>
  <c r="C140" i="2" s="1"/>
  <c r="B139" i="2"/>
  <c r="F137" i="2"/>
  <c r="F138" i="2" s="1"/>
  <c r="E137" i="2"/>
  <c r="D137" i="2"/>
  <c r="C137" i="2"/>
  <c r="D126" i="2"/>
  <c r="F123" i="2"/>
  <c r="F213" i="2" s="1"/>
  <c r="F188" i="8" s="1"/>
  <c r="E123" i="2"/>
  <c r="E213" i="2" s="1"/>
  <c r="E188" i="8" s="1"/>
  <c r="F120" i="2"/>
  <c r="E120" i="2"/>
  <c r="D119" i="2"/>
  <c r="C119" i="2"/>
  <c r="B119" i="2"/>
  <c r="F118" i="2"/>
  <c r="E118" i="2"/>
  <c r="D118" i="2"/>
  <c r="C118" i="2"/>
  <c r="B118" i="2"/>
  <c r="D116" i="2"/>
  <c r="C116" i="2"/>
  <c r="B116" i="2"/>
  <c r="F115" i="2"/>
  <c r="E115" i="2"/>
  <c r="D115" i="2"/>
  <c r="C115" i="2"/>
  <c r="B115" i="2"/>
  <c r="F109" i="2"/>
  <c r="E109" i="2"/>
  <c r="D108" i="2"/>
  <c r="F104" i="2"/>
  <c r="E104" i="2"/>
  <c r="D104" i="2"/>
  <c r="C104" i="2"/>
  <c r="F103" i="2"/>
  <c r="F118" i="8" s="1"/>
  <c r="F119" i="8" s="1"/>
  <c r="F120" i="8" s="1"/>
  <c r="E103" i="2"/>
  <c r="E118" i="8" s="1"/>
  <c r="E119" i="8" s="1"/>
  <c r="E120" i="8" s="1"/>
  <c r="F102" i="2"/>
  <c r="F107" i="8" s="1"/>
  <c r="F108" i="8" s="1"/>
  <c r="F109" i="8" s="1"/>
  <c r="E102" i="2"/>
  <c r="E107" i="8" s="1"/>
  <c r="E108" i="8" s="1"/>
  <c r="E109" i="8" s="1"/>
  <c r="F101" i="2"/>
  <c r="E101" i="2"/>
  <c r="D101" i="2"/>
  <c r="C101" i="2"/>
  <c r="B101" i="2"/>
  <c r="F98" i="2"/>
  <c r="F86" i="2" s="1"/>
  <c r="E98" i="2"/>
  <c r="D92" i="2"/>
  <c r="C92" i="2"/>
  <c r="F91" i="2"/>
  <c r="F108" i="2" s="1"/>
  <c r="E91" i="2"/>
  <c r="E27" i="3" s="1"/>
  <c r="D91" i="2"/>
  <c r="E126" i="2" s="1"/>
  <c r="D90" i="2"/>
  <c r="C90" i="2"/>
  <c r="F89" i="2"/>
  <c r="E89" i="2"/>
  <c r="D89" i="2"/>
  <c r="C89" i="2"/>
  <c r="B89" i="2"/>
  <c r="E86" i="2"/>
  <c r="D86" i="2"/>
  <c r="D133" i="2" s="1"/>
  <c r="F81" i="2"/>
  <c r="E81" i="2"/>
  <c r="E132" i="2" s="1"/>
  <c r="F80" i="2"/>
  <c r="F79" i="2" s="1"/>
  <c r="E80" i="2"/>
  <c r="E131" i="2" s="1"/>
  <c r="E79" i="2"/>
  <c r="E82" i="2" s="1"/>
  <c r="F76" i="2"/>
  <c r="E76" i="2"/>
  <c r="E75" i="2" s="1"/>
  <c r="D76" i="2"/>
  <c r="D79" i="2" s="1"/>
  <c r="D82" i="2" s="1"/>
  <c r="C76" i="2"/>
  <c r="C79" i="2" s="1"/>
  <c r="B76" i="2"/>
  <c r="B79" i="2" s="1"/>
  <c r="C75" i="2"/>
  <c r="C91" i="2" s="1"/>
  <c r="C108" i="2" s="1"/>
  <c r="B75" i="2"/>
  <c r="B91" i="2" s="1"/>
  <c r="B27" i="3" s="1"/>
  <c r="B39" i="3" s="1"/>
  <c r="E69" i="2"/>
  <c r="D69" i="2"/>
  <c r="C69" i="2"/>
  <c r="F68" i="2"/>
  <c r="E68" i="2"/>
  <c r="D68" i="2"/>
  <c r="C68" i="2"/>
  <c r="B68" i="2"/>
  <c r="F65" i="2"/>
  <c r="F69" i="2" s="1"/>
  <c r="E65" i="2"/>
  <c r="E24" i="3" s="1"/>
  <c r="D63" i="2"/>
  <c r="C63" i="2"/>
  <c r="C58" i="2" s="1"/>
  <c r="F60" i="2"/>
  <c r="E60" i="2"/>
  <c r="E9" i="3" s="1"/>
  <c r="F59" i="2"/>
  <c r="E59" i="2"/>
  <c r="D59" i="2"/>
  <c r="F57" i="2"/>
  <c r="E57" i="2"/>
  <c r="D57" i="2"/>
  <c r="D58" i="2" s="1"/>
  <c r="C57" i="2"/>
  <c r="F54" i="2"/>
  <c r="E54" i="2"/>
  <c r="E51" i="2"/>
  <c r="C51" i="2"/>
  <c r="B51" i="2"/>
  <c r="F50" i="2"/>
  <c r="E50" i="2"/>
  <c r="D50" i="2"/>
  <c r="C50" i="2"/>
  <c r="F49" i="2"/>
  <c r="E49" i="2"/>
  <c r="D49" i="2"/>
  <c r="C49" i="2"/>
  <c r="B49" i="2"/>
  <c r="F46" i="2"/>
  <c r="B46" i="2"/>
  <c r="C45" i="2"/>
  <c r="B45" i="2"/>
  <c r="F43" i="2"/>
  <c r="E43" i="2"/>
  <c r="C43" i="2"/>
  <c r="B43" i="2"/>
  <c r="E37" i="2"/>
  <c r="E42" i="2" s="1"/>
  <c r="C37" i="2"/>
  <c r="C42" i="2" s="1"/>
  <c r="C36" i="2"/>
  <c r="B36" i="2"/>
  <c r="F35" i="2"/>
  <c r="C35" i="2"/>
  <c r="B35" i="2"/>
  <c r="F33" i="2"/>
  <c r="E33" i="2"/>
  <c r="D33" i="2"/>
  <c r="D90" i="8" s="1"/>
  <c r="D91" i="8" s="1"/>
  <c r="D92" i="8" s="1"/>
  <c r="C33" i="2"/>
  <c r="C90" i="8" s="1"/>
  <c r="C91" i="8" s="1"/>
  <c r="C92" i="8" s="1"/>
  <c r="B33" i="2"/>
  <c r="B90" i="8" s="1"/>
  <c r="B91" i="8" s="1"/>
  <c r="B92" i="8" s="1"/>
  <c r="C31" i="2"/>
  <c r="B31" i="2"/>
  <c r="F30" i="2"/>
  <c r="F36" i="2" s="1"/>
  <c r="E30" i="2"/>
  <c r="E36" i="2" s="1"/>
  <c r="D30" i="2"/>
  <c r="D36" i="2" s="1"/>
  <c r="D37" i="2" s="1"/>
  <c r="C30" i="2"/>
  <c r="F29" i="2"/>
  <c r="C29" i="2"/>
  <c r="F28" i="2"/>
  <c r="C28" i="2"/>
  <c r="F27" i="2"/>
  <c r="E27" i="2"/>
  <c r="D27" i="2"/>
  <c r="F24" i="2"/>
  <c r="E24" i="2"/>
  <c r="D24" i="2"/>
  <c r="C24" i="2"/>
  <c r="B24" i="2"/>
  <c r="F21" i="2"/>
  <c r="E21" i="2"/>
  <c r="D21" i="2"/>
  <c r="C21" i="2"/>
  <c r="B21" i="2"/>
  <c r="F19" i="2"/>
  <c r="E19" i="2"/>
  <c r="D19" i="2"/>
  <c r="C19" i="2"/>
  <c r="B19" i="2"/>
  <c r="B16" i="2"/>
  <c r="F14" i="2"/>
  <c r="E14" i="2"/>
  <c r="D14" i="2"/>
  <c r="C14" i="2"/>
  <c r="F13" i="2"/>
  <c r="B13" i="2"/>
  <c r="C10" i="2"/>
  <c r="C7" i="2" s="1"/>
  <c r="E9" i="2"/>
  <c r="F10" i="2" s="1"/>
  <c r="D9" i="2"/>
  <c r="D28" i="2" s="1"/>
  <c r="C9" i="2"/>
  <c r="C13" i="2" s="1"/>
  <c r="F8" i="2"/>
  <c r="D8" i="2"/>
  <c r="C8" i="2"/>
  <c r="F6" i="2"/>
  <c r="F7" i="2" s="1"/>
  <c r="E6" i="2"/>
  <c r="D6" i="2"/>
  <c r="C6" i="2"/>
  <c r="E41" i="1"/>
  <c r="F40" i="1"/>
  <c r="D40" i="1"/>
  <c r="C40" i="1"/>
  <c r="B40" i="1"/>
  <c r="F33" i="1"/>
  <c r="F19" i="6" s="1"/>
  <c r="F24" i="6" s="1"/>
  <c r="E33" i="1"/>
  <c r="D33" i="1"/>
  <c r="D19" i="6" s="1"/>
  <c r="D24" i="6" s="1"/>
  <c r="C33" i="1"/>
  <c r="C19" i="6" s="1"/>
  <c r="C24" i="6" s="1"/>
  <c r="B33" i="1"/>
  <c r="B19" i="6" s="1"/>
  <c r="B24" i="6" s="1"/>
  <c r="F27" i="1"/>
  <c r="E27" i="1"/>
  <c r="D27" i="1"/>
  <c r="D41" i="1" s="1"/>
  <c r="C27" i="1"/>
  <c r="C41" i="1" s="1"/>
  <c r="B27" i="1"/>
  <c r="B41" i="1" s="1"/>
  <c r="F20" i="1"/>
  <c r="F12" i="6" s="1"/>
  <c r="F18" i="6" s="1"/>
  <c r="E20" i="1"/>
  <c r="E12" i="6" s="1"/>
  <c r="E18" i="6" s="1"/>
  <c r="D20" i="1"/>
  <c r="D12" i="6" s="1"/>
  <c r="D18" i="6" s="1"/>
  <c r="C20" i="1"/>
  <c r="C12" i="6" s="1"/>
  <c r="C18" i="6" s="1"/>
  <c r="B20" i="1"/>
  <c r="B12" i="6" s="1"/>
  <c r="F12" i="1"/>
  <c r="F6" i="6" s="1"/>
  <c r="F11" i="6" s="1"/>
  <c r="E12" i="1"/>
  <c r="E6" i="6" s="1"/>
  <c r="E11" i="6" s="1"/>
  <c r="D12" i="1"/>
  <c r="D6" i="6" s="1"/>
  <c r="C12" i="1"/>
  <c r="C6" i="6" s="1"/>
  <c r="C11" i="6" s="1"/>
  <c r="B12" i="1"/>
  <c r="B6" i="6" s="1"/>
  <c r="B11" i="6" s="1"/>
  <c r="B25" i="6" s="1"/>
  <c r="L53" i="12"/>
  <c r="K14" i="12"/>
  <c r="J14" i="12"/>
  <c r="I14" i="12"/>
  <c r="H14" i="12"/>
  <c r="G14" i="12"/>
  <c r="F9" i="12"/>
  <c r="E9" i="12"/>
  <c r="D9" i="12"/>
  <c r="C9" i="12"/>
  <c r="B9" i="12"/>
  <c r="F7" i="12"/>
  <c r="G179" i="8" l="1"/>
  <c r="G74" i="8"/>
  <c r="G4" i="11" s="1"/>
  <c r="H179" i="8"/>
  <c r="J179" i="8" s="1"/>
  <c r="C189" i="8"/>
  <c r="I179" i="8"/>
  <c r="B189" i="8"/>
  <c r="C241" i="8"/>
  <c r="C242" i="8" s="1"/>
  <c r="D241" i="8"/>
  <c r="B249" i="8"/>
  <c r="G101" i="8"/>
  <c r="C233" i="8"/>
  <c r="H43" i="8"/>
  <c r="I43" i="8" s="1"/>
  <c r="I113" i="8" s="1"/>
  <c r="D233" i="8"/>
  <c r="I42" i="8"/>
  <c r="J42" i="8" s="1"/>
  <c r="H112" i="8"/>
  <c r="G112" i="8"/>
  <c r="F233" i="8"/>
  <c r="H26" i="8"/>
  <c r="B170" i="8"/>
  <c r="C170" i="8"/>
  <c r="H25" i="8"/>
  <c r="H44" i="8"/>
  <c r="H91" i="8"/>
  <c r="E249" i="8"/>
  <c r="E170" i="8"/>
  <c r="F249" i="8"/>
  <c r="H27" i="8"/>
  <c r="F170" i="8"/>
  <c r="G91" i="8"/>
  <c r="I123" i="8"/>
  <c r="G10" i="11"/>
  <c r="I9" i="8"/>
  <c r="I91" i="8" s="1"/>
  <c r="F210" i="8"/>
  <c r="B233" i="8"/>
  <c r="C234" i="8"/>
  <c r="C210" i="8"/>
  <c r="E241" i="8"/>
  <c r="C249" i="8"/>
  <c r="F241" i="8"/>
  <c r="D249" i="8"/>
  <c r="F9" i="11"/>
  <c r="B37" i="9"/>
  <c r="E7" i="7"/>
  <c r="D15" i="7"/>
  <c r="D18" i="7" s="1"/>
  <c r="D21" i="7" s="1"/>
  <c r="E15" i="7"/>
  <c r="E18" i="7" s="1"/>
  <c r="E21" i="7" s="1"/>
  <c r="F82" i="2"/>
  <c r="F32" i="3"/>
  <c r="C21" i="7"/>
  <c r="C20" i="7"/>
  <c r="E4" i="11"/>
  <c r="E26" i="6"/>
  <c r="E32" i="6" s="1"/>
  <c r="E4" i="10"/>
  <c r="E20" i="3"/>
  <c r="E41" i="6"/>
  <c r="E38" i="6"/>
  <c r="E10" i="3"/>
  <c r="E22" i="3"/>
  <c r="E14" i="3"/>
  <c r="E4" i="12"/>
  <c r="E40" i="6"/>
  <c r="E18" i="3"/>
  <c r="D19" i="7"/>
  <c r="D52" i="3"/>
  <c r="D42" i="2"/>
  <c r="E51" i="3"/>
  <c r="E62" i="3" s="1"/>
  <c r="E39" i="3"/>
  <c r="C25" i="6"/>
  <c r="C19" i="7" s="1"/>
  <c r="F25" i="6"/>
  <c r="F244" i="8"/>
  <c r="F228" i="8"/>
  <c r="F6" i="3"/>
  <c r="F236" i="8"/>
  <c r="F215" i="8"/>
  <c r="F10" i="5"/>
  <c r="F12" i="5"/>
  <c r="F12" i="3"/>
  <c r="F8" i="3"/>
  <c r="F13" i="3" s="1"/>
  <c r="F7" i="5"/>
  <c r="F8" i="5"/>
  <c r="E133" i="2"/>
  <c r="D34" i="2"/>
  <c r="D85" i="8" s="1"/>
  <c r="D86" i="8" s="1"/>
  <c r="D87" i="8" s="1"/>
  <c r="B32" i="3"/>
  <c r="B130" i="2"/>
  <c r="B133" i="2"/>
  <c r="B82" i="2"/>
  <c r="C141" i="2"/>
  <c r="C138" i="2" s="1"/>
  <c r="D9" i="3"/>
  <c r="C27" i="6"/>
  <c r="D32" i="3"/>
  <c r="C52" i="3"/>
  <c r="B21" i="1"/>
  <c r="D29" i="2"/>
  <c r="D51" i="2"/>
  <c r="D46" i="2"/>
  <c r="F58" i="2"/>
  <c r="B108" i="2"/>
  <c r="C21" i="1"/>
  <c r="E13" i="2"/>
  <c r="E31" i="2"/>
  <c r="E29" i="2"/>
  <c r="B34" i="2"/>
  <c r="B85" i="8" s="1"/>
  <c r="B86" i="8" s="1"/>
  <c r="B87" i="8" s="1"/>
  <c r="E46" i="2"/>
  <c r="E92" i="2"/>
  <c r="F131" i="2"/>
  <c r="D141" i="2"/>
  <c r="D138" i="2" s="1"/>
  <c r="C158" i="2"/>
  <c r="C96" i="8" s="1"/>
  <c r="C97" i="8" s="1"/>
  <c r="C98" i="8" s="1"/>
  <c r="F27" i="3"/>
  <c r="E32" i="3"/>
  <c r="C7" i="12"/>
  <c r="D13" i="2"/>
  <c r="F90" i="8"/>
  <c r="F91" i="8" s="1"/>
  <c r="F92" i="8" s="1"/>
  <c r="F45" i="2"/>
  <c r="F34" i="2"/>
  <c r="F85" i="8" s="1"/>
  <c r="E27" i="6"/>
  <c r="E33" i="6" s="1"/>
  <c r="E26" i="3"/>
  <c r="F126" i="2"/>
  <c r="E108" i="2"/>
  <c r="E21" i="1"/>
  <c r="F51" i="2"/>
  <c r="F31" i="2"/>
  <c r="C34" i="2"/>
  <c r="C85" i="8" s="1"/>
  <c r="C86" i="8" s="1"/>
  <c r="C87" i="8" s="1"/>
  <c r="B37" i="2"/>
  <c r="D43" i="2"/>
  <c r="B92" i="2"/>
  <c r="D158" i="2"/>
  <c r="D96" i="8" s="1"/>
  <c r="D97" i="8" s="1"/>
  <c r="D98" i="8" s="1"/>
  <c r="D6" i="3"/>
  <c r="E96" i="5"/>
  <c r="F96" i="5" s="1"/>
  <c r="E91" i="5"/>
  <c r="F85" i="5" s="1"/>
  <c r="E25" i="6"/>
  <c r="E12" i="11"/>
  <c r="E14" i="10"/>
  <c r="C133" i="2"/>
  <c r="C82" i="2"/>
  <c r="C32" i="3"/>
  <c r="C130" i="2"/>
  <c r="B170" i="2"/>
  <c r="C29" i="3"/>
  <c r="C37" i="3"/>
  <c r="E28" i="2"/>
  <c r="D31" i="2"/>
  <c r="B83" i="2"/>
  <c r="C126" i="2"/>
  <c r="F157" i="2"/>
  <c r="F155" i="2"/>
  <c r="F169" i="2"/>
  <c r="F166" i="2"/>
  <c r="C170" i="2"/>
  <c r="B12" i="11"/>
  <c r="B14" i="10"/>
  <c r="D12" i="3"/>
  <c r="E25" i="3"/>
  <c r="D29" i="3"/>
  <c r="F135" i="5"/>
  <c r="E148" i="5"/>
  <c r="E14" i="12"/>
  <c r="D10" i="2"/>
  <c r="D7" i="2" s="1"/>
  <c r="D35" i="2"/>
  <c r="F37" i="2"/>
  <c r="E119" i="2"/>
  <c r="E116" i="2"/>
  <c r="E63" i="2"/>
  <c r="E58" i="2" s="1"/>
  <c r="E28" i="3"/>
  <c r="F92" i="2"/>
  <c r="F90" i="2"/>
  <c r="B151" i="2"/>
  <c r="B167" i="2"/>
  <c r="E15" i="3"/>
  <c r="F28" i="6"/>
  <c r="B51" i="3"/>
  <c r="B62" i="3" s="1"/>
  <c r="E5" i="4"/>
  <c r="E34" i="4" s="1"/>
  <c r="E58" i="4" s="1"/>
  <c r="E68" i="3"/>
  <c r="D210" i="8"/>
  <c r="D214" i="8"/>
  <c r="F10" i="12"/>
  <c r="F41" i="1"/>
  <c r="E10" i="2"/>
  <c r="E7" i="2" s="1"/>
  <c r="C15" i="2"/>
  <c r="C16" i="2" s="1"/>
  <c r="E35" i="2"/>
  <c r="D45" i="2"/>
  <c r="F63" i="2"/>
  <c r="F9" i="3"/>
  <c r="F68" i="3" s="1"/>
  <c r="F119" i="2"/>
  <c r="F116" i="2"/>
  <c r="F28" i="3"/>
  <c r="D83" i="2"/>
  <c r="D130" i="2"/>
  <c r="E138" i="2"/>
  <c r="B144" i="2"/>
  <c r="C151" i="2"/>
  <c r="C167" i="2"/>
  <c r="B48" i="3"/>
  <c r="F5" i="4"/>
  <c r="F34" i="4" s="1"/>
  <c r="C149" i="5"/>
  <c r="C28" i="6"/>
  <c r="E210" i="8"/>
  <c r="E214" i="8"/>
  <c r="E216" i="8"/>
  <c r="D15" i="2"/>
  <c r="D16" i="2" s="1"/>
  <c r="E83" i="2"/>
  <c r="E130" i="2"/>
  <c r="D244" i="8"/>
  <c r="D236" i="8"/>
  <c r="D228" i="8"/>
  <c r="D7" i="5"/>
  <c r="D8" i="3"/>
  <c r="D13" i="3" s="1"/>
  <c r="D14" i="3" s="1"/>
  <c r="B9" i="3"/>
  <c r="C39" i="3"/>
  <c r="C40" i="3" s="1"/>
  <c r="C41" i="3" s="1"/>
  <c r="C51" i="3"/>
  <c r="C62" i="3" s="1"/>
  <c r="C7" i="10"/>
  <c r="C6" i="11"/>
  <c r="C132" i="8"/>
  <c r="C49" i="3"/>
  <c r="C137" i="8" s="1"/>
  <c r="C138" i="8" s="1"/>
  <c r="C139" i="8" s="1"/>
  <c r="C59" i="3"/>
  <c r="D10" i="5"/>
  <c r="D147" i="5"/>
  <c r="D149" i="5" s="1"/>
  <c r="E121" i="5"/>
  <c r="E192" i="5"/>
  <c r="E193" i="5" s="1"/>
  <c r="E191" i="5"/>
  <c r="F159" i="8"/>
  <c r="F133" i="8"/>
  <c r="E15" i="2"/>
  <c r="E16" i="2" s="1"/>
  <c r="F14" i="10"/>
  <c r="F12" i="11"/>
  <c r="F14" i="12"/>
  <c r="F15" i="2"/>
  <c r="F16" i="2" s="1"/>
  <c r="E90" i="8"/>
  <c r="E91" i="8" s="1"/>
  <c r="E92" i="8" s="1"/>
  <c r="E45" i="2"/>
  <c r="E34" i="2"/>
  <c r="E85" i="8" s="1"/>
  <c r="E86" i="8" s="1"/>
  <c r="E87" i="8" s="1"/>
  <c r="C46" i="2"/>
  <c r="F130" i="2"/>
  <c r="D144" i="2"/>
  <c r="E244" i="8"/>
  <c r="E12" i="5"/>
  <c r="E10" i="5"/>
  <c r="E8" i="5"/>
  <c r="E228" i="8"/>
  <c r="E7" i="5"/>
  <c r="C9" i="3"/>
  <c r="B27" i="6"/>
  <c r="D27" i="3"/>
  <c r="D48" i="3"/>
  <c r="F77" i="3"/>
  <c r="D8" i="5"/>
  <c r="E172" i="5"/>
  <c r="B191" i="5"/>
  <c r="F24" i="3"/>
  <c r="E233" i="8"/>
  <c r="F216" i="8"/>
  <c r="E90" i="2"/>
  <c r="F132" i="2"/>
  <c r="C14" i="10"/>
  <c r="C12" i="11"/>
  <c r="D26" i="3"/>
  <c r="D166" i="5"/>
  <c r="E156" i="5"/>
  <c r="J92" i="8"/>
  <c r="B210" i="8"/>
  <c r="E157" i="2"/>
  <c r="D12" i="11"/>
  <c r="D14" i="10"/>
  <c r="D27" i="6"/>
  <c r="D20" i="7" s="1"/>
  <c r="D191" i="5"/>
  <c r="D21" i="1"/>
  <c r="E166" i="2"/>
  <c r="F7" i="7"/>
  <c r="F18" i="7" s="1"/>
  <c r="B15" i="7"/>
  <c r="B18" i="7" s="1"/>
  <c r="K10" i="8"/>
  <c r="B149" i="8"/>
  <c r="G199" i="8"/>
  <c r="D170" i="8"/>
  <c r="D242" i="8"/>
  <c r="D215" i="8"/>
  <c r="B223" i="8" s="1"/>
  <c r="D250" i="8"/>
  <c r="H180" i="8"/>
  <c r="E215" i="8"/>
  <c r="C214" i="8"/>
  <c r="B222" i="8" s="1"/>
  <c r="G181" i="8"/>
  <c r="B38" i="9"/>
  <c r="F10" i="10"/>
  <c r="K179" i="8" l="1"/>
  <c r="C250" i="8"/>
  <c r="F250" i="8"/>
  <c r="E242" i="8"/>
  <c r="D234" i="8"/>
  <c r="G6" i="11"/>
  <c r="G7" i="11" s="1"/>
  <c r="E234" i="8"/>
  <c r="J43" i="8"/>
  <c r="J113" i="8" s="1"/>
  <c r="G132" i="8"/>
  <c r="G159" i="8" s="1"/>
  <c r="E250" i="8"/>
  <c r="I112" i="8"/>
  <c r="H113" i="8"/>
  <c r="I25" i="8"/>
  <c r="H74" i="8"/>
  <c r="H4" i="11" s="1"/>
  <c r="H5" i="11" s="1"/>
  <c r="H101" i="8"/>
  <c r="B174" i="8"/>
  <c r="G198" i="8"/>
  <c r="I27" i="8"/>
  <c r="H103" i="8"/>
  <c r="H76" i="8"/>
  <c r="H4" i="12" s="1"/>
  <c r="I26" i="8"/>
  <c r="H102" i="8"/>
  <c r="F86" i="8"/>
  <c r="F87" i="8" s="1"/>
  <c r="H75" i="8"/>
  <c r="H4" i="10" s="1"/>
  <c r="F242" i="8"/>
  <c r="H114" i="8"/>
  <c r="I44" i="8"/>
  <c r="J123" i="8"/>
  <c r="K123" i="8"/>
  <c r="J112" i="8"/>
  <c r="K42" i="8"/>
  <c r="K112" i="8" s="1"/>
  <c r="J198" i="8"/>
  <c r="J9" i="8"/>
  <c r="E19" i="7"/>
  <c r="E20" i="7"/>
  <c r="G11" i="11"/>
  <c r="G9" i="11"/>
  <c r="F30" i="3"/>
  <c r="F29" i="3"/>
  <c r="F30" i="6"/>
  <c r="D4" i="11"/>
  <c r="E5" i="11" s="1"/>
  <c r="D26" i="6"/>
  <c r="D32" i="6" s="1"/>
  <c r="D4" i="10"/>
  <c r="D10" i="3"/>
  <c r="D20" i="3"/>
  <c r="D41" i="6"/>
  <c r="D38" i="6"/>
  <c r="D22" i="3"/>
  <c r="D25" i="3"/>
  <c r="D4" i="12"/>
  <c r="D40" i="6"/>
  <c r="D18" i="3"/>
  <c r="F19" i="7"/>
  <c r="F21" i="7"/>
  <c r="F59" i="4"/>
  <c r="B52" i="3"/>
  <c r="B53" i="3" s="1"/>
  <c r="B42" i="2"/>
  <c r="F15" i="3"/>
  <c r="F14" i="3"/>
  <c r="E152" i="5"/>
  <c r="E133" i="5"/>
  <c r="E151" i="5"/>
  <c r="F42" i="2"/>
  <c r="F101" i="8"/>
  <c r="F102" i="8" s="1"/>
  <c r="F103" i="8" s="1"/>
  <c r="F159" i="2"/>
  <c r="F158" i="2"/>
  <c r="F96" i="8" s="1"/>
  <c r="F97" i="8" s="1"/>
  <c r="F98" i="8" s="1"/>
  <c r="F161" i="2"/>
  <c r="F52" i="3" s="1"/>
  <c r="F133" i="2"/>
  <c r="B21" i="7"/>
  <c r="B19" i="7"/>
  <c r="B20" i="7"/>
  <c r="E101" i="8"/>
  <c r="E102" i="8" s="1"/>
  <c r="E103" i="8" s="1"/>
  <c r="E159" i="2"/>
  <c r="E158" i="2"/>
  <c r="E96" i="8" s="1"/>
  <c r="E97" i="8" s="1"/>
  <c r="E98" i="8" s="1"/>
  <c r="E161" i="2"/>
  <c r="E52" i="3" s="1"/>
  <c r="E48" i="3"/>
  <c r="B4" i="10"/>
  <c r="B41" i="6"/>
  <c r="B4" i="11"/>
  <c r="B40" i="6"/>
  <c r="B26" i="6"/>
  <c r="B33" i="6" s="1"/>
  <c r="B20" i="3"/>
  <c r="B18" i="3"/>
  <c r="B22" i="3"/>
  <c r="B38" i="6"/>
  <c r="B25" i="3"/>
  <c r="B14" i="3"/>
  <c r="B4" i="12"/>
  <c r="G200" i="8"/>
  <c r="H181" i="8"/>
  <c r="G12" i="12"/>
  <c r="C26" i="6"/>
  <c r="C32" i="6" s="1"/>
  <c r="C4" i="11"/>
  <c r="C10" i="3"/>
  <c r="C20" i="3"/>
  <c r="C41" i="6"/>
  <c r="C4" i="10"/>
  <c r="C40" i="6"/>
  <c r="C18" i="3"/>
  <c r="C25" i="3"/>
  <c r="C22" i="3"/>
  <c r="C38" i="6"/>
  <c r="C14" i="3"/>
  <c r="C4" i="12"/>
  <c r="C5" i="12" s="1"/>
  <c r="B132" i="8"/>
  <c r="B7" i="10"/>
  <c r="B6" i="11"/>
  <c r="B49" i="3"/>
  <c r="B137" i="8" s="1"/>
  <c r="B138" i="8" s="1"/>
  <c r="B139" i="8" s="1"/>
  <c r="B7" i="12"/>
  <c r="B36" i="3"/>
  <c r="B59" i="3"/>
  <c r="C50" i="3"/>
  <c r="F191" i="5"/>
  <c r="F26" i="3"/>
  <c r="F27" i="6"/>
  <c r="F25" i="3"/>
  <c r="D51" i="3"/>
  <c r="D62" i="3" s="1"/>
  <c r="D39" i="3"/>
  <c r="F4" i="11"/>
  <c r="G5" i="11" s="1"/>
  <c r="F40" i="6"/>
  <c r="F38" i="6"/>
  <c r="F41" i="6"/>
  <c r="F4" i="10"/>
  <c r="F26" i="6"/>
  <c r="F32" i="6" s="1"/>
  <c r="F20" i="3"/>
  <c r="F60" i="3"/>
  <c r="F37" i="3"/>
  <c r="F22" i="3"/>
  <c r="F4" i="12"/>
  <c r="F18" i="3"/>
  <c r="F10" i="3"/>
  <c r="F49" i="3"/>
  <c r="F137" i="8" s="1"/>
  <c r="F138" i="8" s="1"/>
  <c r="F139" i="8" s="1"/>
  <c r="K92" i="8"/>
  <c r="F193" i="5"/>
  <c r="E169" i="5"/>
  <c r="E164" i="5"/>
  <c r="E166" i="5" s="1"/>
  <c r="F156" i="5" s="1"/>
  <c r="E168" i="5"/>
  <c r="C63" i="3"/>
  <c r="C77" i="3"/>
  <c r="C61" i="3"/>
  <c r="C60" i="3"/>
  <c r="C43" i="6"/>
  <c r="C10" i="11"/>
  <c r="C11" i="11" s="1"/>
  <c r="C12" i="10"/>
  <c r="C13" i="10" s="1"/>
  <c r="C12" i="12"/>
  <c r="F89" i="5"/>
  <c r="B10" i="11"/>
  <c r="B43" i="6"/>
  <c r="B12" i="12"/>
  <c r="B12" i="10"/>
  <c r="F12" i="10"/>
  <c r="F13" i="10" s="1"/>
  <c r="F43" i="6"/>
  <c r="F10" i="11"/>
  <c r="F11" i="11" s="1"/>
  <c r="F12" i="12"/>
  <c r="F13" i="12" s="1"/>
  <c r="C53" i="3"/>
  <c r="C54" i="3"/>
  <c r="E59" i="4"/>
  <c r="H12" i="10"/>
  <c r="H199" i="8"/>
  <c r="D33" i="6"/>
  <c r="C83" i="2"/>
  <c r="F137" i="5"/>
  <c r="F114" i="5" s="1"/>
  <c r="C13" i="12"/>
  <c r="C10" i="12"/>
  <c r="C8" i="12"/>
  <c r="F58" i="4"/>
  <c r="B29" i="3"/>
  <c r="E5" i="10"/>
  <c r="F83" i="2"/>
  <c r="F160" i="8"/>
  <c r="F134" i="8"/>
  <c r="F161" i="8" s="1"/>
  <c r="C159" i="8"/>
  <c r="C133" i="8"/>
  <c r="I180" i="8"/>
  <c r="F86" i="3"/>
  <c r="F78" i="3"/>
  <c r="C9" i="11"/>
  <c r="E30" i="3"/>
  <c r="E29" i="3"/>
  <c r="F234" i="8"/>
  <c r="E10" i="11"/>
  <c r="E12" i="10"/>
  <c r="E43" i="6"/>
  <c r="E12" i="12"/>
  <c r="D10" i="11"/>
  <c r="D12" i="10"/>
  <c r="D43" i="6"/>
  <c r="D12" i="12"/>
  <c r="E187" i="5"/>
  <c r="E181" i="5"/>
  <c r="E186" i="5"/>
  <c r="D7" i="10"/>
  <c r="D6" i="11"/>
  <c r="D132" i="8"/>
  <c r="D49" i="3"/>
  <c r="D137" i="8" s="1"/>
  <c r="D138" i="8" s="1"/>
  <c r="D139" i="8" s="1"/>
  <c r="D59" i="3"/>
  <c r="D50" i="3"/>
  <c r="D36" i="3"/>
  <c r="D7" i="12"/>
  <c r="C8" i="10"/>
  <c r="C10" i="10"/>
  <c r="C34" i="6"/>
  <c r="C30" i="6"/>
  <c r="F51" i="3"/>
  <c r="F62" i="3" s="1"/>
  <c r="F39" i="3"/>
  <c r="F40" i="3" s="1"/>
  <c r="F41" i="3" s="1"/>
  <c r="C33" i="6"/>
  <c r="D53" i="3"/>
  <c r="D54" i="3"/>
  <c r="C5" i="11" l="1"/>
  <c r="G137" i="8"/>
  <c r="K43" i="8"/>
  <c r="K113" i="8" s="1"/>
  <c r="H134" i="8"/>
  <c r="H161" i="8" s="1"/>
  <c r="J44" i="8"/>
  <c r="I114" i="8"/>
  <c r="I102" i="8"/>
  <c r="J26" i="8"/>
  <c r="H139" i="8"/>
  <c r="I75" i="8"/>
  <c r="I4" i="10" s="1"/>
  <c r="I5" i="10" s="1"/>
  <c r="I103" i="8"/>
  <c r="I76" i="8"/>
  <c r="I244" i="8" s="1"/>
  <c r="J27" i="8"/>
  <c r="H132" i="8"/>
  <c r="H6" i="11"/>
  <c r="H7" i="10"/>
  <c r="H133" i="8"/>
  <c r="J25" i="8"/>
  <c r="I74" i="8"/>
  <c r="I228" i="8" s="1"/>
  <c r="I101" i="8"/>
  <c r="K198" i="8"/>
  <c r="K9" i="8"/>
  <c r="K91" i="8" s="1"/>
  <c r="J10" i="11"/>
  <c r="I10" i="11"/>
  <c r="J91" i="8"/>
  <c r="I198" i="8"/>
  <c r="H198" i="8"/>
  <c r="H10" i="11"/>
  <c r="F53" i="3"/>
  <c r="F54" i="3"/>
  <c r="F33" i="6"/>
  <c r="B8" i="12"/>
  <c r="B13" i="12"/>
  <c r="B10" i="12"/>
  <c r="D5" i="11"/>
  <c r="H200" i="8"/>
  <c r="H12" i="12"/>
  <c r="D5" i="12"/>
  <c r="F34" i="6"/>
  <c r="C45" i="6"/>
  <c r="C44" i="6"/>
  <c r="B11" i="11"/>
  <c r="B9" i="11"/>
  <c r="B7" i="11"/>
  <c r="C5" i="10"/>
  <c r="I181" i="8"/>
  <c r="F31" i="6"/>
  <c r="F22" i="7"/>
  <c r="F35" i="6"/>
  <c r="F36" i="6" s="1"/>
  <c r="D10" i="10"/>
  <c r="D8" i="10"/>
  <c r="D13" i="10"/>
  <c r="I12" i="10"/>
  <c r="I199" i="8"/>
  <c r="J180" i="8"/>
  <c r="K180" i="8" s="1"/>
  <c r="B8" i="10"/>
  <c r="B10" i="10"/>
  <c r="B13" i="10"/>
  <c r="F121" i="5"/>
  <c r="E147" i="5"/>
  <c r="E149" i="5" s="1"/>
  <c r="F8" i="10"/>
  <c r="F5" i="10"/>
  <c r="D11" i="11"/>
  <c r="D7" i="11"/>
  <c r="D9" i="11"/>
  <c r="C31" i="6"/>
  <c r="C22" i="7"/>
  <c r="C35" i="6"/>
  <c r="C36" i="6" s="1"/>
  <c r="D159" i="8"/>
  <c r="D133" i="8"/>
  <c r="D45" i="6"/>
  <c r="D44" i="6"/>
  <c r="C134" i="8"/>
  <c r="C161" i="8" s="1"/>
  <c r="C160" i="8"/>
  <c r="B133" i="8"/>
  <c r="B159" i="8"/>
  <c r="E45" i="6"/>
  <c r="E44" i="6"/>
  <c r="F145" i="5"/>
  <c r="F148" i="5" s="1"/>
  <c r="B44" i="6"/>
  <c r="B45" i="6"/>
  <c r="F5" i="12"/>
  <c r="F8" i="12"/>
  <c r="F5" i="11"/>
  <c r="F7" i="11"/>
  <c r="E6" i="11"/>
  <c r="E7" i="10"/>
  <c r="E59" i="3"/>
  <c r="E36" i="3"/>
  <c r="E132" i="8"/>
  <c r="E49" i="3"/>
  <c r="E137" i="8" s="1"/>
  <c r="E138" i="8" s="1"/>
  <c r="E139" i="8" s="1"/>
  <c r="F50" i="3"/>
  <c r="E50" i="3"/>
  <c r="E7" i="12"/>
  <c r="F164" i="5"/>
  <c r="F166" i="5" s="1"/>
  <c r="F161" i="5"/>
  <c r="F159" i="5"/>
  <c r="G228" i="8"/>
  <c r="H244" i="8"/>
  <c r="H236" i="8"/>
  <c r="H228" i="8"/>
  <c r="D28" i="6"/>
  <c r="D40" i="3"/>
  <c r="D41" i="3" s="1"/>
  <c r="D37" i="3"/>
  <c r="D38" i="3"/>
  <c r="E183" i="5"/>
  <c r="F172" i="5"/>
  <c r="C7" i="11"/>
  <c r="F94" i="5"/>
  <c r="F88" i="5"/>
  <c r="E53" i="3"/>
  <c r="E54" i="3"/>
  <c r="F20" i="7"/>
  <c r="C78" i="3"/>
  <c r="C86" i="3"/>
  <c r="B77" i="3"/>
  <c r="C79" i="3" s="1"/>
  <c r="B63" i="3"/>
  <c r="B60" i="3"/>
  <c r="E5" i="12"/>
  <c r="D5" i="10"/>
  <c r="F45" i="6"/>
  <c r="F44" i="6"/>
  <c r="D13" i="12"/>
  <c r="D10" i="12"/>
  <c r="D8" i="12"/>
  <c r="D77" i="3"/>
  <c r="D61" i="3"/>
  <c r="D60" i="3"/>
  <c r="D63" i="3"/>
  <c r="C67" i="3"/>
  <c r="C66" i="3"/>
  <c r="B37" i="3"/>
  <c r="B28" i="6"/>
  <c r="B40" i="3"/>
  <c r="B41" i="3" s="1"/>
  <c r="C38" i="3"/>
  <c r="H7" i="12" l="1"/>
  <c r="H10" i="12" s="1"/>
  <c r="I134" i="8"/>
  <c r="H11" i="11"/>
  <c r="H8" i="12"/>
  <c r="K10" i="11"/>
  <c r="J74" i="8"/>
  <c r="K25" i="8"/>
  <c r="J101" i="8"/>
  <c r="I7" i="12"/>
  <c r="I161" i="8"/>
  <c r="H138" i="8"/>
  <c r="H160" i="8"/>
  <c r="H8" i="10"/>
  <c r="H10" i="10"/>
  <c r="I236" i="8"/>
  <c r="H9" i="11"/>
  <c r="H7" i="11"/>
  <c r="H13" i="10"/>
  <c r="H159" i="8"/>
  <c r="H137" i="8"/>
  <c r="K26" i="8"/>
  <c r="J102" i="8"/>
  <c r="J133" i="8" s="1"/>
  <c r="J160" i="8" s="1"/>
  <c r="I133" i="8"/>
  <c r="I160" i="8" s="1"/>
  <c r="I7" i="10"/>
  <c r="I13" i="10" s="1"/>
  <c r="J75" i="8"/>
  <c r="I132" i="8"/>
  <c r="I159" i="8" s="1"/>
  <c r="I6" i="11"/>
  <c r="J76" i="8"/>
  <c r="K27" i="8"/>
  <c r="J103" i="8"/>
  <c r="I4" i="11"/>
  <c r="I5" i="11" s="1"/>
  <c r="I4" i="12"/>
  <c r="I5" i="12" s="1"/>
  <c r="I139" i="8"/>
  <c r="K44" i="8"/>
  <c r="K114" i="8" s="1"/>
  <c r="J114" i="8"/>
  <c r="J181" i="8"/>
  <c r="K181" i="8" s="1"/>
  <c r="I232" i="8"/>
  <c r="I229" i="8"/>
  <c r="I230" i="8" s="1"/>
  <c r="I231" i="8"/>
  <c r="D66" i="3"/>
  <c r="D67" i="3"/>
  <c r="D34" i="6"/>
  <c r="D30" i="6"/>
  <c r="E159" i="8"/>
  <c r="E133" i="8"/>
  <c r="B134" i="8"/>
  <c r="B161" i="8" s="1"/>
  <c r="B160" i="8"/>
  <c r="J12" i="10"/>
  <c r="J199" i="8"/>
  <c r="E28" i="6"/>
  <c r="E40" i="3"/>
  <c r="E41" i="3" s="1"/>
  <c r="E37" i="3"/>
  <c r="E38" i="3"/>
  <c r="F38" i="3"/>
  <c r="K12" i="10"/>
  <c r="K199" i="8"/>
  <c r="J12" i="12"/>
  <c r="H231" i="8"/>
  <c r="H232" i="8"/>
  <c r="H229" i="8"/>
  <c r="H230" i="8" s="1"/>
  <c r="E60" i="3"/>
  <c r="E77" i="3"/>
  <c r="E61" i="3"/>
  <c r="F61" i="3"/>
  <c r="H240" i="8"/>
  <c r="H239" i="8"/>
  <c r="H237" i="8"/>
  <c r="H238" i="8" s="1"/>
  <c r="E10" i="10"/>
  <c r="E8" i="10"/>
  <c r="E13" i="10"/>
  <c r="E7" i="11"/>
  <c r="E11" i="11"/>
  <c r="E9" i="11"/>
  <c r="F123" i="5"/>
  <c r="F112" i="5" s="1"/>
  <c r="F119" i="5" s="1"/>
  <c r="F124" i="5"/>
  <c r="F115" i="5" s="1"/>
  <c r="F133" i="5"/>
  <c r="F147" i="5" s="1"/>
  <c r="F149" i="5" s="1"/>
  <c r="I200" i="8"/>
  <c r="I12" i="12"/>
  <c r="F93" i="5"/>
  <c r="F91" i="5"/>
  <c r="G232" i="8"/>
  <c r="G231" i="8"/>
  <c r="G229" i="8"/>
  <c r="G230" i="8" s="1"/>
  <c r="E13" i="12"/>
  <c r="E10" i="12"/>
  <c r="E8" i="12"/>
  <c r="B34" i="6"/>
  <c r="B30" i="6"/>
  <c r="C87" i="3"/>
  <c r="D160" i="8"/>
  <c r="D134" i="8"/>
  <c r="D161" i="8" s="1"/>
  <c r="D86" i="3"/>
  <c r="D87" i="3" s="1"/>
  <c r="D78" i="3"/>
  <c r="D79" i="3"/>
  <c r="B67" i="3"/>
  <c r="B66" i="3"/>
  <c r="B78" i="3"/>
  <c r="B86" i="3"/>
  <c r="F187" i="5"/>
  <c r="F186" i="5"/>
  <c r="H248" i="8"/>
  <c r="H247" i="8"/>
  <c r="H245" i="8"/>
  <c r="H246" i="8" s="1"/>
  <c r="C71" i="3"/>
  <c r="C68" i="3"/>
  <c r="C5" i="4"/>
  <c r="C34" i="4" s="1"/>
  <c r="I247" i="8"/>
  <c r="I245" i="8"/>
  <c r="I246" i="8" s="1"/>
  <c r="I248" i="8"/>
  <c r="H13" i="12"/>
  <c r="J134" i="8" l="1"/>
  <c r="J4" i="10"/>
  <c r="J5" i="10" s="1"/>
  <c r="J236" i="8"/>
  <c r="I7" i="11"/>
  <c r="I9" i="11"/>
  <c r="I8" i="10"/>
  <c r="I10" i="10"/>
  <c r="J6" i="11"/>
  <c r="J132" i="8"/>
  <c r="J159" i="8" s="1"/>
  <c r="J161" i="8"/>
  <c r="J7" i="12"/>
  <c r="J4" i="12"/>
  <c r="J5" i="12" s="1"/>
  <c r="J244" i="8"/>
  <c r="J139" i="8"/>
  <c r="J138" i="8"/>
  <c r="I8" i="12"/>
  <c r="I10" i="12"/>
  <c r="I11" i="11"/>
  <c r="K74" i="8"/>
  <c r="K101" i="8"/>
  <c r="J7" i="10"/>
  <c r="J13" i="10" s="1"/>
  <c r="K102" i="8"/>
  <c r="K75" i="8"/>
  <c r="K103" i="8"/>
  <c r="K134" i="8" s="1"/>
  <c r="K76" i="8"/>
  <c r="I13" i="12"/>
  <c r="I137" i="8"/>
  <c r="I138" i="8"/>
  <c r="I240" i="8"/>
  <c r="I239" i="8"/>
  <c r="I237" i="8"/>
  <c r="I238" i="8" s="1"/>
  <c r="J4" i="11"/>
  <c r="J5" i="11" s="1"/>
  <c r="J228" i="8"/>
  <c r="K200" i="8"/>
  <c r="K12" i="12"/>
  <c r="G233" i="8"/>
  <c r="G234" i="8" s="1"/>
  <c r="G13" i="11" s="1"/>
  <c r="G14" i="11" s="1"/>
  <c r="J200" i="8"/>
  <c r="H233" i="8"/>
  <c r="H249" i="8"/>
  <c r="E160" i="8"/>
  <c r="E134" i="8"/>
  <c r="E161" i="8" s="1"/>
  <c r="B68" i="3"/>
  <c r="B5" i="4"/>
  <c r="B34" i="4" s="1"/>
  <c r="B22" i="7"/>
  <c r="B35" i="6"/>
  <c r="B36" i="6" s="1"/>
  <c r="C59" i="4"/>
  <c r="C58" i="4"/>
  <c r="C63" i="4" s="1"/>
  <c r="E86" i="3"/>
  <c r="E78" i="3"/>
  <c r="E79" i="3"/>
  <c r="F79" i="3"/>
  <c r="D22" i="7"/>
  <c r="D31" i="6"/>
  <c r="D35" i="6"/>
  <c r="D36" i="6" s="1"/>
  <c r="H241" i="8"/>
  <c r="D71" i="3"/>
  <c r="D5" i="4"/>
  <c r="D34" i="4" s="1"/>
  <c r="D68" i="3"/>
  <c r="I233" i="8"/>
  <c r="I249" i="8"/>
  <c r="E30" i="6"/>
  <c r="E34" i="6"/>
  <c r="K236" i="8" l="1"/>
  <c r="K4" i="10"/>
  <c r="K5" i="10" s="1"/>
  <c r="J247" i="8"/>
  <c r="J245" i="8"/>
  <c r="J246" i="8" s="1"/>
  <c r="J248" i="8"/>
  <c r="J240" i="8"/>
  <c r="J239" i="8"/>
  <c r="J237" i="8"/>
  <c r="J238" i="8" s="1"/>
  <c r="J241" i="8" s="1"/>
  <c r="K139" i="8"/>
  <c r="K244" i="8"/>
  <c r="K4" i="12"/>
  <c r="K5" i="12" s="1"/>
  <c r="J137" i="8"/>
  <c r="K7" i="10"/>
  <c r="K133" i="8"/>
  <c r="K160" i="8" s="1"/>
  <c r="K132" i="8"/>
  <c r="K159" i="8" s="1"/>
  <c r="K6" i="11"/>
  <c r="K228" i="8"/>
  <c r="K4" i="11"/>
  <c r="K5" i="11" s="1"/>
  <c r="J9" i="11"/>
  <c r="J7" i="11"/>
  <c r="J11" i="11"/>
  <c r="J229" i="8"/>
  <c r="J230" i="8" s="1"/>
  <c r="J232" i="8"/>
  <c r="J231" i="8"/>
  <c r="K161" i="8"/>
  <c r="K7" i="12"/>
  <c r="I241" i="8"/>
  <c r="I242" i="8" s="1"/>
  <c r="I15" i="10" s="1"/>
  <c r="I16" i="10" s="1"/>
  <c r="J10" i="10"/>
  <c r="J8" i="10"/>
  <c r="J10" i="12"/>
  <c r="J8" i="12"/>
  <c r="J13" i="12"/>
  <c r="H234" i="8"/>
  <c r="H13" i="11" s="1"/>
  <c r="H14" i="11" s="1"/>
  <c r="I250" i="8"/>
  <c r="I15" i="12" s="1"/>
  <c r="I16" i="12" s="1"/>
  <c r="I234" i="8"/>
  <c r="I13" i="11" s="1"/>
  <c r="I14" i="11" s="1"/>
  <c r="D59" i="4"/>
  <c r="D58" i="4"/>
  <c r="D63" i="4" s="1"/>
  <c r="E60" i="4" s="1"/>
  <c r="F63" i="4" s="1"/>
  <c r="E31" i="6"/>
  <c r="E22" i="7"/>
  <c r="E35" i="6"/>
  <c r="E36" i="6" s="1"/>
  <c r="B59" i="4"/>
  <c r="B63" i="4"/>
  <c r="E87" i="3"/>
  <c r="F87" i="3"/>
  <c r="K137" i="8" l="1"/>
  <c r="J242" i="8"/>
  <c r="J15" i="10" s="1"/>
  <c r="J16" i="10" s="1"/>
  <c r="K8" i="12"/>
  <c r="K10" i="12"/>
  <c r="K11" i="11"/>
  <c r="K23" i="11" s="1"/>
  <c r="K25" i="11" s="1"/>
  <c r="K9" i="11"/>
  <c r="K7" i="11"/>
  <c r="K13" i="12"/>
  <c r="K26" i="12" s="1"/>
  <c r="K28" i="12" s="1"/>
  <c r="K10" i="10"/>
  <c r="K8" i="10"/>
  <c r="K13" i="10"/>
  <c r="K27" i="10" s="1"/>
  <c r="K231" i="8"/>
  <c r="K232" i="8"/>
  <c r="K229" i="8"/>
  <c r="K230" i="8" s="1"/>
  <c r="J249" i="8"/>
  <c r="J250" i="8" s="1"/>
  <c r="J15" i="12" s="1"/>
  <c r="J16" i="12" s="1"/>
  <c r="J233" i="8"/>
  <c r="J234" i="8" s="1"/>
  <c r="J13" i="11" s="1"/>
  <c r="J14" i="11" s="1"/>
  <c r="K240" i="8"/>
  <c r="K239" i="8"/>
  <c r="K237" i="8"/>
  <c r="K238" i="8" s="1"/>
  <c r="K248" i="8"/>
  <c r="K247" i="8"/>
  <c r="K245" i="8"/>
  <c r="K246" i="8" s="1"/>
  <c r="K138" i="8"/>
  <c r="K241" i="8" l="1"/>
  <c r="K242" i="8" s="1"/>
  <c r="K15" i="10" s="1"/>
  <c r="K16" i="10" s="1"/>
  <c r="K46" i="10" s="1"/>
  <c r="K233" i="8"/>
  <c r="K234" i="8" s="1"/>
  <c r="K13" i="11" s="1"/>
  <c r="K14" i="11" s="1"/>
  <c r="K42" i="11" s="1"/>
  <c r="B82" i="10"/>
  <c r="K29" i="10"/>
  <c r="B84" i="10" s="1"/>
  <c r="K249" i="8"/>
  <c r="K250" i="8" s="1"/>
  <c r="K15" i="12" s="1"/>
  <c r="K16" i="12" s="1"/>
  <c r="K44" i="12" s="1"/>
  <c r="G75" i="8" l="1"/>
  <c r="G4" i="10" s="1"/>
  <c r="G124" i="8"/>
  <c r="G133" i="8" s="1"/>
  <c r="G160" i="8" s="1"/>
  <c r="H5" i="10" l="1"/>
  <c r="G5" i="10"/>
  <c r="G138" i="8"/>
  <c r="G236" i="8"/>
  <c r="G7" i="10"/>
  <c r="G240" i="8" l="1"/>
  <c r="G239" i="8"/>
  <c r="G237" i="8"/>
  <c r="G238" i="8" s="1"/>
  <c r="G13" i="10"/>
  <c r="G10" i="10"/>
  <c r="G8" i="10"/>
  <c r="G241" i="8" l="1"/>
  <c r="G242" i="8" s="1"/>
  <c r="G15" i="10" s="1"/>
  <c r="G16" i="10" s="1"/>
  <c r="H242" i="8" l="1"/>
  <c r="H15" i="10" s="1"/>
  <c r="H16" i="10" s="1"/>
  <c r="G125" i="8"/>
  <c r="G134" i="8" s="1"/>
  <c r="G66" i="8"/>
  <c r="G76" i="8"/>
  <c r="G244" i="8" s="1"/>
  <c r="G247" i="8" l="1"/>
  <c r="G245" i="8"/>
  <c r="G246" i="8" s="1"/>
  <c r="G7" i="12"/>
  <c r="G161" i="8"/>
  <c r="G139" i="8"/>
  <c r="G4" i="12"/>
  <c r="G248" i="8"/>
  <c r="G249" i="8" l="1"/>
  <c r="G250" i="8" s="1"/>
  <c r="G15" i="12" s="1"/>
  <c r="G13" i="12"/>
  <c r="G10" i="12"/>
  <c r="H5" i="12"/>
  <c r="G5" i="12"/>
  <c r="G8" i="12"/>
  <c r="C37" i="9"/>
  <c r="D37" i="9" s="1"/>
  <c r="B26" i="9"/>
  <c r="C38" i="9" s="1"/>
  <c r="D38" i="9" s="1"/>
  <c r="G16" i="12" l="1"/>
  <c r="H250" i="8"/>
  <c r="H15" i="12" s="1"/>
  <c r="H16" i="12" s="1"/>
  <c r="B27" i="9"/>
  <c r="B29" i="9"/>
  <c r="B28" i="9"/>
  <c r="C25" i="9" s="1"/>
  <c r="C26" i="9"/>
  <c r="D39" i="9"/>
  <c r="G17" i="11" l="1"/>
  <c r="G18" i="11" s="1"/>
  <c r="H19" i="12"/>
  <c r="H20" i="12" s="1"/>
  <c r="K47" i="10"/>
  <c r="J17" i="11"/>
  <c r="J18" i="11" s="1"/>
  <c r="J19" i="10"/>
  <c r="J20" i="10" s="1"/>
  <c r="G19" i="12"/>
  <c r="G20" i="12" s="1"/>
  <c r="H19" i="10"/>
  <c r="H20" i="10" s="1"/>
  <c r="K19" i="12"/>
  <c r="J19" i="12"/>
  <c r="J20" i="12" s="1"/>
  <c r="K17" i="11"/>
  <c r="I17" i="11"/>
  <c r="I18" i="11" s="1"/>
  <c r="H17" i="11"/>
  <c r="H18" i="11" s="1"/>
  <c r="I19" i="10"/>
  <c r="I20" i="10" s="1"/>
  <c r="G19" i="10"/>
  <c r="G20" i="10" s="1"/>
  <c r="K19" i="10"/>
  <c r="I19" i="12"/>
  <c r="I20" i="12" s="1"/>
  <c r="K18" i="11" l="1"/>
  <c r="L19" i="11" s="1"/>
  <c r="L29" i="11" s="1"/>
  <c r="K45" i="11"/>
  <c r="K26" i="11"/>
  <c r="K27" i="11" s="1"/>
  <c r="L30" i="11" s="1"/>
  <c r="K47" i="12"/>
  <c r="K20" i="12"/>
  <c r="L21" i="12" s="1"/>
  <c r="K29" i="12"/>
  <c r="K30" i="12" s="1"/>
  <c r="L33" i="12" s="1"/>
  <c r="K30" i="10"/>
  <c r="K20" i="10"/>
  <c r="L21" i="10" s="1"/>
  <c r="L33" i="10" s="1"/>
  <c r="K49" i="10"/>
  <c r="K43" i="11"/>
  <c r="K48" i="10"/>
  <c r="L52" i="10" l="1"/>
  <c r="B87" i="10"/>
  <c r="L48" i="11"/>
  <c r="L31" i="11"/>
  <c r="L33" i="11" s="1"/>
  <c r="L35" i="11" s="1"/>
  <c r="L32" i="12"/>
  <c r="L34" i="12" s="1"/>
  <c r="L36" i="12" s="1"/>
  <c r="L38" i="12" s="1"/>
  <c r="L50" i="12"/>
  <c r="B85" i="10"/>
  <c r="K31" i="10"/>
  <c r="K50" i="10"/>
  <c r="L53" i="10" s="1"/>
  <c r="K44" i="11"/>
  <c r="K46" i="11" s="1"/>
  <c r="L49" i="11" s="1"/>
  <c r="K45" i="12"/>
  <c r="K46" i="12" s="1"/>
  <c r="K48" i="12" s="1"/>
  <c r="L51" i="12" s="1"/>
  <c r="L52" i="12" l="1"/>
  <c r="L54" i="12" s="1"/>
  <c r="L56" i="12" s="1"/>
  <c r="L50" i="11"/>
  <c r="L52" i="11" s="1"/>
  <c r="L54" i="11" s="1"/>
  <c r="B100" i="10" s="1"/>
  <c r="B99" i="10"/>
  <c r="L37" i="11"/>
  <c r="L58" i="12"/>
  <c r="B106" i="10"/>
  <c r="B86" i="10"/>
  <c r="L34" i="10"/>
  <c r="L35" i="10" s="1"/>
  <c r="B105" i="10"/>
  <c r="L40" i="12"/>
  <c r="L54" i="10"/>
  <c r="L56" i="10" s="1"/>
  <c r="L58" i="10" s="1"/>
  <c r="L56" i="11" l="1"/>
  <c r="B90" i="10"/>
  <c r="L37" i="10"/>
  <c r="L60" i="10"/>
  <c r="B103" i="10"/>
  <c r="L39" i="10" l="1"/>
  <c r="B92" i="10"/>
  <c r="B94" i="10" l="1"/>
  <c r="B102" i="10"/>
  <c r="L41" i="10"/>
</calcChain>
</file>

<file path=xl/sharedStrings.xml><?xml version="1.0" encoding="utf-8"?>
<sst xmlns="http://schemas.openxmlformats.org/spreadsheetml/2006/main" count="1299" uniqueCount="664">
  <si>
    <t>Free Cash Flow Prospectifs — Scénario Central Umicore (2021–2030)</t>
  </si>
  <si>
    <t>M€</t>
  </si>
  <si>
    <t>2021</t>
  </si>
  <si>
    <t>2022</t>
  </si>
  <si>
    <t>2023</t>
  </si>
  <si>
    <t>2024</t>
  </si>
  <si>
    <t>2025</t>
  </si>
  <si>
    <t>2026*</t>
  </si>
  <si>
    <t>2027*</t>
  </si>
  <si>
    <t>2028*</t>
  </si>
  <si>
    <t>2029*</t>
  </si>
  <si>
    <t>2030*</t>
  </si>
  <si>
    <t>Σ PV FCF</t>
  </si>
  <si>
    <t>CA excl. métaux précieux</t>
  </si>
  <si>
    <t xml:space="preserve">  % Croissance</t>
  </si>
  <si>
    <t>—</t>
  </si>
  <si>
    <t>EBIT ajusté</t>
  </si>
  <si>
    <t xml:space="preserve">  Marge EBIT (%)</t>
  </si>
  <si>
    <t xml:space="preserve">  Taux d'imposition (ETR)</t>
  </si>
  <si>
    <t>NOPAT  [= EBIT × (1 − ETR)]</t>
  </si>
  <si>
    <t xml:space="preserve">  (+)(D&amp;A)</t>
  </si>
  <si>
    <t xml:space="preserve">EBITDA ajusté </t>
  </si>
  <si>
    <t xml:space="preserve">  (−) (CAPEX)</t>
  </si>
  <si>
    <t xml:space="preserve">  (−) ΔBFR </t>
  </si>
  <si>
    <t>FCF</t>
  </si>
  <si>
    <t>t = 1</t>
  </si>
  <si>
    <t>t = 2</t>
  </si>
  <si>
    <t>t = 3</t>
  </si>
  <si>
    <t>t = 4</t>
  </si>
  <si>
    <t>t = 5</t>
  </si>
  <si>
    <t xml:space="preserve">Facteur d'actualisation  </t>
  </si>
  <si>
    <t>FCF actualisé (M€)</t>
  </si>
  <si>
    <t>Σ Valeur actuelle des FCF sur l'horizon explicite (2026–2030)</t>
  </si>
  <si>
    <t>VALEUR TERMINALE — APPROCHE MULTIPLE EV/EBITDA (SCÉNARIO CENTRAL)</t>
  </si>
  <si>
    <t>EBITDA ajusté — année de sortie (2030) [M€]</t>
  </si>
  <si>
    <t xml:space="preserve">  Multiple EV/EBITDA (médiane peers — Bloomberg)</t>
  </si>
  <si>
    <t xml:space="preserve">Valeur terminale brute [M€]  </t>
  </si>
  <si>
    <t xml:space="preserve">  Facteur d'actualisation </t>
  </si>
  <si>
    <t>Valeur actuelle de la valeur terminale</t>
  </si>
  <si>
    <t xml:space="preserve">  Σ Valeur actuelle des FCF (2026–2030) [M€]</t>
  </si>
  <si>
    <t xml:space="preserve">  (+) Valeur actuelle de la valeur terminale [M€]</t>
  </si>
  <si>
    <t>Enterprise Value [EV] [M€]</t>
  </si>
  <si>
    <t xml:space="preserve">  (−) Bridge dette (dette fin. nette + provisions + minoritaires) [M€]</t>
  </si>
  <si>
    <t>Valeur des capitaux propres [M€]</t>
  </si>
  <si>
    <t xml:space="preserve">  Nombre d'actions (millions)</t>
  </si>
  <si>
    <t xml:space="preserve">Cours cible </t>
  </si>
  <si>
    <t xml:space="preserve">  Cours actuel  </t>
  </si>
  <si>
    <t>Potentiel de hausse / (baisse) [%]</t>
  </si>
  <si>
    <t>VALEUR TERMINALE — MÉTHODE DE CROISSANCE PERPÉTUELLE (GORDON-SHAPIRO)</t>
  </si>
  <si>
    <t>FCF 2030</t>
  </si>
  <si>
    <t xml:space="preserve">  WACC − g  </t>
  </si>
  <si>
    <t xml:space="preserve">  Σ Valeur actuelle des FCF [M€]</t>
  </si>
  <si>
    <t xml:space="preserve">  (−) dette nette[M€]</t>
  </si>
  <si>
    <t>Valeur des CP [M€]</t>
  </si>
  <si>
    <t xml:space="preserve">  Cours actuel (03/04/2026) [€ / action]</t>
  </si>
  <si>
    <t>Analyse de sensibilité — Scénario optimiste (Approche multiple EV/EBITDA)</t>
  </si>
  <si>
    <t>8.0x</t>
  </si>
  <si>
    <t>8.5x</t>
  </si>
  <si>
    <t>9.5x</t>
  </si>
  <si>
    <t>6.97%</t>
  </si>
  <si>
    <t>7.47%</t>
  </si>
  <si>
    <t>Analyse de sensibilité — Scénario optimiste (Méthode de croissance perpétuelle, Gordon-Shapiro)</t>
  </si>
  <si>
    <t xml:space="preserve">Balance sheet </t>
  </si>
  <si>
    <t>Intangible assets</t>
  </si>
  <si>
    <t>Property, plant &amp; equipment</t>
  </si>
  <si>
    <t>Investments through equity</t>
  </si>
  <si>
    <t>Available for sale financial assets</t>
  </si>
  <si>
    <t>Loans granted</t>
  </si>
  <si>
    <t>Trade &amp; other receivables</t>
  </si>
  <si>
    <t>Deferred tax assets</t>
  </si>
  <si>
    <t>Non-current assets</t>
  </si>
  <si>
    <t xml:space="preserve">Current loans granted </t>
  </si>
  <si>
    <t xml:space="preserve">inventories </t>
  </si>
  <si>
    <t xml:space="preserve">Income tax receivables </t>
  </si>
  <si>
    <t xml:space="preserve">Cash and equivalents </t>
  </si>
  <si>
    <t xml:space="preserve">Assests of discountinued operations </t>
  </si>
  <si>
    <t xml:space="preserve">Current assets </t>
  </si>
  <si>
    <t xml:space="preserve">Total assets </t>
  </si>
  <si>
    <t xml:space="preserve">Provisions for employee benefits </t>
  </si>
  <si>
    <t xml:space="preserve">Financial debt </t>
  </si>
  <si>
    <t xml:space="preserve">Deferred tax liabilities </t>
  </si>
  <si>
    <t xml:space="preserve">Provisions </t>
  </si>
  <si>
    <t xml:space="preserve">Non-current liabilities </t>
  </si>
  <si>
    <t>Financial debt</t>
  </si>
  <si>
    <t>Trade &amp; other payables</t>
  </si>
  <si>
    <t>Income tax payable</t>
  </si>
  <si>
    <t>Provisions</t>
  </si>
  <si>
    <t>Liabilities of discontinued operations</t>
  </si>
  <si>
    <t>Current liabilities</t>
  </si>
  <si>
    <t>Share capital and premiums</t>
  </si>
  <si>
    <t>Retained earnings</t>
  </si>
  <si>
    <t>Currency and other reserves</t>
  </si>
  <si>
    <t>Treasury shares</t>
  </si>
  <si>
    <t>Minority interest</t>
  </si>
  <si>
    <t>Discontinued</t>
  </si>
  <si>
    <t>Equity</t>
  </si>
  <si>
    <t>Total equity and liabilities</t>
  </si>
  <si>
    <t>Income statement</t>
  </si>
  <si>
    <t>CATALYSIS</t>
  </si>
  <si>
    <t>Sales including precious metals</t>
  </si>
  <si>
    <t>Growth</t>
  </si>
  <si>
    <t>/</t>
  </si>
  <si>
    <t>Growth multiple</t>
  </si>
  <si>
    <t>Precious metal component</t>
  </si>
  <si>
    <t>Sales (external)</t>
  </si>
  <si>
    <t xml:space="preserve">Adjusted EBITDA </t>
  </si>
  <si>
    <t>Margin</t>
  </si>
  <si>
    <t>Incremental revenue</t>
  </si>
  <si>
    <t>Change</t>
  </si>
  <si>
    <t>Other</t>
  </si>
  <si>
    <t>Drop through</t>
  </si>
  <si>
    <t>Closing EBITDA</t>
  </si>
  <si>
    <t>Non-recurring items</t>
  </si>
  <si>
    <t>EBITDA</t>
  </si>
  <si>
    <t>Recurring D&amp;A</t>
  </si>
  <si>
    <t>As % of CE</t>
  </si>
  <si>
    <t>Adjustments in D&amp;A</t>
  </si>
  <si>
    <t>Adjusted operating result</t>
  </si>
  <si>
    <t>Operating result</t>
  </si>
  <si>
    <t>Adjusted EBIT</t>
  </si>
  <si>
    <t>Adjustments</t>
  </si>
  <si>
    <t>EBIT</t>
  </si>
  <si>
    <t>Total assets</t>
  </si>
  <si>
    <t>Total liabilities</t>
  </si>
  <si>
    <t>Capital employed (average)</t>
  </si>
  <si>
    <t>ROIC (average)</t>
  </si>
  <si>
    <t>Asset turnover (average)</t>
  </si>
  <si>
    <t>Capital employed (closing)</t>
  </si>
  <si>
    <t>ROIC (closing)</t>
  </si>
  <si>
    <t>Asset turnover (closing)</t>
  </si>
  <si>
    <t>R&amp;D</t>
  </si>
  <si>
    <t>Capex</t>
  </si>
  <si>
    <t>Capex / D&amp;A</t>
  </si>
  <si>
    <t>Capex / opening CE</t>
  </si>
  <si>
    <t>Free cash flow</t>
  </si>
  <si>
    <t>Battery materials + specialty materials</t>
  </si>
  <si>
    <t>sales Battery Materials</t>
  </si>
  <si>
    <t>sales Specialty Materials</t>
  </si>
  <si>
    <t>Growth multiplier</t>
  </si>
  <si>
    <t>Sales</t>
  </si>
  <si>
    <t>Adjusted EBITDA</t>
  </si>
  <si>
    <t>adjusted EBITDA Battery Materials</t>
  </si>
  <si>
    <t>adjusted EBITDA Specialty Materials</t>
  </si>
  <si>
    <t>Opening EBITDA</t>
  </si>
  <si>
    <t>EBITDA Battery Materials</t>
  </si>
  <si>
    <t>EBITDA Specialty Materials</t>
  </si>
  <si>
    <t>Recurring D&amp;A Battery Materials</t>
  </si>
  <si>
    <t>Recurring D&amp;A Specialty Materials</t>
  </si>
  <si>
    <t>As % of group</t>
  </si>
  <si>
    <t>Adjusted operating result Battery Materials</t>
  </si>
  <si>
    <t>Adjusted operating result Specialty Materials</t>
  </si>
  <si>
    <t>Adjusted associate income</t>
  </si>
  <si>
    <t>Adjusted EBIT Battery Materials</t>
  </si>
  <si>
    <t>Adjusted EBIT Specialty Materials</t>
  </si>
  <si>
    <t>Margin Battery Materials</t>
  </si>
  <si>
    <t>Margin Specialty Materials</t>
  </si>
  <si>
    <t>Small 3</t>
  </si>
  <si>
    <t>RBM</t>
  </si>
  <si>
    <t>CSM</t>
  </si>
  <si>
    <t>EBIT Battery Materials</t>
  </si>
  <si>
    <t>EBIT Specialty Materials</t>
  </si>
  <si>
    <t>R&amp;D Battery Materials</t>
  </si>
  <si>
    <t>R&amp;D Specialty Materials</t>
  </si>
  <si>
    <t>Capex Battery Materials</t>
  </si>
  <si>
    <t>Capex Specialty Materials</t>
  </si>
  <si>
    <t>Maintenance</t>
  </si>
  <si>
    <t>Phase 1</t>
  </si>
  <si>
    <t>Phase 2</t>
  </si>
  <si>
    <t>Phase 3</t>
  </si>
  <si>
    <t>Free Cash Flow Battery Materials</t>
  </si>
  <si>
    <t>Free Cash Flow Specialty Materials</t>
  </si>
  <si>
    <t>RECYCLING</t>
  </si>
  <si>
    <t>As % of sales</t>
  </si>
  <si>
    <t>CORPORATE</t>
  </si>
  <si>
    <t>-</t>
  </si>
  <si>
    <t>na</t>
  </si>
  <si>
    <t>Average capital employed</t>
  </si>
  <si>
    <t>Closing Capital Employed</t>
  </si>
  <si>
    <t xml:space="preserve">CAPEX </t>
  </si>
  <si>
    <t>P &amp; L</t>
  </si>
  <si>
    <t>Other operating income</t>
  </si>
  <si>
    <t>Operating income</t>
  </si>
  <si>
    <t>Segment revenues</t>
  </si>
  <si>
    <t>COGS</t>
  </si>
  <si>
    <t xml:space="preserve">percentage of COGS within the revenues </t>
  </si>
  <si>
    <t>Gross profit</t>
  </si>
  <si>
    <t>Payroll and related benefits</t>
  </si>
  <si>
    <t>Depreciation &amp; impairments</t>
  </si>
  <si>
    <t>Other operating expenses</t>
  </si>
  <si>
    <t>Income from other financial investments</t>
  </si>
  <si>
    <t>Equity method investments</t>
  </si>
  <si>
    <t>Adjusted EBIT (*)</t>
  </si>
  <si>
    <t>Financial income</t>
  </si>
  <si>
    <t xml:space="preserve">Financial expenses </t>
  </si>
  <si>
    <t xml:space="preserve">FX gain/losses </t>
  </si>
  <si>
    <t>Adjusted PBT</t>
  </si>
  <si>
    <t>PBT</t>
  </si>
  <si>
    <t>Income tax</t>
  </si>
  <si>
    <t>Rate (%)</t>
  </si>
  <si>
    <t>Net income</t>
  </si>
  <si>
    <t>margin</t>
  </si>
  <si>
    <t>Minorities</t>
  </si>
  <si>
    <t>Profit from discontinued operations</t>
  </si>
  <si>
    <t>Net attributable income</t>
  </si>
  <si>
    <t>Adjusted tax</t>
  </si>
  <si>
    <t>Effective tax rate (%)</t>
  </si>
  <si>
    <t>Adjusted net income (total)</t>
  </si>
  <si>
    <t>Basic WASII</t>
  </si>
  <si>
    <t>Diluted WASII</t>
  </si>
  <si>
    <t>Basic EPS</t>
  </si>
  <si>
    <t>Diluted EPS</t>
  </si>
  <si>
    <t>Adjusted EPS</t>
  </si>
  <si>
    <t>Cash Flow</t>
  </si>
  <si>
    <t>Associate income</t>
  </si>
  <si>
    <t>Depreciation</t>
  </si>
  <si>
    <t>Impairment</t>
  </si>
  <si>
    <t>Mark to market of inventories</t>
  </si>
  <si>
    <t>Exchange differences on loans</t>
  </si>
  <si>
    <t>Inventories and bad debt provisions</t>
  </si>
  <si>
    <t>Depreciation on government grants</t>
  </si>
  <si>
    <t>Share-based payments</t>
  </si>
  <si>
    <t>Changes in provisions</t>
  </si>
  <si>
    <t>Adjustments for non cash transactions</t>
  </si>
  <si>
    <t>Tax charge</t>
  </si>
  <si>
    <t>Interest charges (income)</t>
  </si>
  <si>
    <t>Gain (loss) on disposal of fixed assets</t>
  </si>
  <si>
    <t>Dividend income</t>
  </si>
  <si>
    <t>Items to disclose seperately</t>
  </si>
  <si>
    <t>Δ inventories</t>
  </si>
  <si>
    <t>Δ receivables</t>
  </si>
  <si>
    <t>Δ payables</t>
  </si>
  <si>
    <t>Δ Working Capital</t>
  </si>
  <si>
    <t>Discontinued items</t>
  </si>
  <si>
    <t>Non-cash working capital</t>
  </si>
  <si>
    <t>Working capital items disclosed elsewhere</t>
  </si>
  <si>
    <t>Impact of business combination on working capital</t>
  </si>
  <si>
    <t>Currency translation differences on working capital</t>
  </si>
  <si>
    <t>Working capital</t>
  </si>
  <si>
    <t>Dividends received</t>
  </si>
  <si>
    <t>Tax paid</t>
  </si>
  <si>
    <t xml:space="preserve">goverrnment grants received </t>
  </si>
  <si>
    <t>Cash from operations</t>
  </si>
  <si>
    <t>Acquisition of P,P&amp;E</t>
  </si>
  <si>
    <t>Disposal of P,P&amp;E</t>
  </si>
  <si>
    <t>Acquisition of intangible assets</t>
  </si>
  <si>
    <t>Disposal of intangibles</t>
  </si>
  <si>
    <t>Acquisition of subsidiaries</t>
  </si>
  <si>
    <t>Disposal of subsidiaries and assoc.</t>
  </si>
  <si>
    <t>Acquisition of / capital increase in assoc.</t>
  </si>
  <si>
    <t>Capital decrease in associates</t>
  </si>
  <si>
    <t>Acquisition of financial assets</t>
  </si>
  <si>
    <t>Disposal of financial assets</t>
  </si>
  <si>
    <t>New loans extended</t>
  </si>
  <si>
    <t>Repayment of loans</t>
  </si>
  <si>
    <t>Cash flows from discontinued operations</t>
  </si>
  <si>
    <t>Cash from investing</t>
  </si>
  <si>
    <t>Capital increase / decrease</t>
  </si>
  <si>
    <t>Own shares</t>
  </si>
  <si>
    <t>Lease liability change</t>
  </si>
  <si>
    <t>Interest received</t>
  </si>
  <si>
    <t>Interest paid</t>
  </si>
  <si>
    <t>Change in borrowings</t>
  </si>
  <si>
    <t>Dividends paid to shareholders</t>
  </si>
  <si>
    <t>Dividends paid to minorities</t>
  </si>
  <si>
    <t>Cash from financing</t>
  </si>
  <si>
    <t>Total cash flow</t>
  </si>
  <si>
    <t>Opening cash</t>
  </si>
  <si>
    <t>FX adjustments</t>
  </si>
  <si>
    <t>Cash belonging to discontnued</t>
  </si>
  <si>
    <t>Closing cash</t>
  </si>
  <si>
    <t>Bank overdrafts</t>
  </si>
  <si>
    <t xml:space="preserve">Miscellaneous </t>
  </si>
  <si>
    <t>WORKING CAPITAL</t>
  </si>
  <si>
    <t>Inventory days</t>
  </si>
  <si>
    <t>Inventory days (revenue)</t>
  </si>
  <si>
    <t>Receivable days (revenue)</t>
  </si>
  <si>
    <t>Payable days (revenue)</t>
  </si>
  <si>
    <t>NWC / sales</t>
  </si>
  <si>
    <t>NWC</t>
  </si>
  <si>
    <t>GEOGRAPHIC INFORMATION</t>
  </si>
  <si>
    <t>Revenue:</t>
  </si>
  <si>
    <t>Belgium</t>
  </si>
  <si>
    <t>Europe excl. Belgium</t>
  </si>
  <si>
    <t>Asia-Pacific</t>
  </si>
  <si>
    <t>North America</t>
  </si>
  <si>
    <t>South America</t>
  </si>
  <si>
    <t>Africa</t>
  </si>
  <si>
    <t>Total</t>
  </si>
  <si>
    <t>Non-current assets:</t>
  </si>
  <si>
    <t>INTANGIBLE ASSET SCHEDULE</t>
  </si>
  <si>
    <t>Opening NBV</t>
  </si>
  <si>
    <t>acquisition through business combinations</t>
  </si>
  <si>
    <t>.</t>
  </si>
  <si>
    <t>Additions</t>
  </si>
  <si>
    <t>Disposals</t>
  </si>
  <si>
    <t>Amortisation</t>
  </si>
  <si>
    <t>Emission rights allowances</t>
  </si>
  <si>
    <t>Translation differences</t>
  </si>
  <si>
    <t>Closing NBV</t>
  </si>
  <si>
    <t>Cost basis</t>
  </si>
  <si>
    <t>Accumulated amortisation</t>
  </si>
  <si>
    <t>Amortisation as % opening cost basis</t>
  </si>
  <si>
    <t>GOODWILL</t>
  </si>
  <si>
    <t>Acquisitions</t>
  </si>
  <si>
    <t>Impairments</t>
  </si>
  <si>
    <t>Accumulated depreciation</t>
  </si>
  <si>
    <t>PROPERTY, PLANT &amp; EQUIPMENT</t>
  </si>
  <si>
    <t>Net impairment</t>
  </si>
  <si>
    <t>Useful P,P&amp;E</t>
  </si>
  <si>
    <t>of which WIP...</t>
  </si>
  <si>
    <t>∆ WIP</t>
  </si>
  <si>
    <t>of which completed...</t>
  </si>
  <si>
    <t>Depreciation as % opening cost basis</t>
  </si>
  <si>
    <t>LEASING</t>
  </si>
  <si>
    <t>Change in accounting policies</t>
  </si>
  <si>
    <t>Acquisition through business combinations</t>
  </si>
  <si>
    <t xml:space="preserve">Depreciations </t>
  </si>
  <si>
    <t>Depreciation as % opening book value</t>
  </si>
  <si>
    <t>ASSOCIATES</t>
  </si>
  <si>
    <t>Opening holding value</t>
  </si>
  <si>
    <t>Discontinued operations in opening</t>
  </si>
  <si>
    <t>Capital increase</t>
  </si>
  <si>
    <t>Profit for the year</t>
  </si>
  <si>
    <t>Dividends</t>
  </si>
  <si>
    <t>Disposal</t>
  </si>
  <si>
    <t>Change in other reserves</t>
  </si>
  <si>
    <t>Closing value</t>
  </si>
  <si>
    <t>EMPLOYEE BENEFITS</t>
  </si>
  <si>
    <t>Opening balance</t>
  </si>
  <si>
    <t>Less discontinued operations</t>
  </si>
  <si>
    <t>Increase</t>
  </si>
  <si>
    <t>Reversal</t>
  </si>
  <si>
    <t>Use</t>
  </si>
  <si>
    <t>Interest and discount rate impacts</t>
  </si>
  <si>
    <t>Transfers</t>
  </si>
  <si>
    <t>Recognised in other comprehensive income</t>
  </si>
  <si>
    <t>Closing balance</t>
  </si>
  <si>
    <t>Opening DBO</t>
  </si>
  <si>
    <t>Current service cost</t>
  </si>
  <si>
    <t>Interest cost</t>
  </si>
  <si>
    <t>Plan participants' contribution</t>
  </si>
  <si>
    <t>Change in demographic assumptions</t>
  </si>
  <si>
    <t>Change in financial assumptions</t>
  </si>
  <si>
    <t>Change in experience assumptions</t>
  </si>
  <si>
    <t>Benefits paid</t>
  </si>
  <si>
    <t>Expenses paid</t>
  </si>
  <si>
    <t>Plan contributions</t>
  </si>
  <si>
    <t>Exchange rate changes</t>
  </si>
  <si>
    <t>Closing DBO</t>
  </si>
  <si>
    <t>Opening plan assets</t>
  </si>
  <si>
    <t>Expected return on plan assets</t>
  </si>
  <si>
    <t>Actual gain / loss</t>
  </si>
  <si>
    <t>Employer contributions</t>
  </si>
  <si>
    <t>Member contributions</t>
  </si>
  <si>
    <t>Net transfers</t>
  </si>
  <si>
    <t>Exchange rates</t>
  </si>
  <si>
    <t>Closing plan assets</t>
  </si>
  <si>
    <t>Defined benefit obligations</t>
  </si>
  <si>
    <t>Fair value of plan assets</t>
  </si>
  <si>
    <t>Funded status</t>
  </si>
  <si>
    <t>Service costs/opening DBO</t>
  </si>
  <si>
    <t>Interest Cost/Opening DBO</t>
  </si>
  <si>
    <t>Expected return/opening plan assets</t>
  </si>
  <si>
    <t>ENVIRONMENTAL PROVISIONS</t>
  </si>
  <si>
    <t>Discounting</t>
  </si>
  <si>
    <t>of which current</t>
  </si>
  <si>
    <t>of which non-current</t>
  </si>
  <si>
    <t>Additions/Opening balance</t>
  </si>
  <si>
    <t>Use/Opening balance</t>
  </si>
  <si>
    <t>OTHER PROVISIONS</t>
  </si>
  <si>
    <t>LEVERAGE</t>
  </si>
  <si>
    <t>Net debt</t>
  </si>
  <si>
    <t>ND / EBITDA</t>
  </si>
  <si>
    <t>Net debt + Pensions</t>
  </si>
  <si>
    <t>ND + Pensions / EBITDA</t>
  </si>
  <si>
    <t>invested capital</t>
  </si>
  <si>
    <t>INVESTED CAPITAL</t>
  </si>
  <si>
    <t>less equity investments</t>
  </si>
  <si>
    <t>less available for sale financial assets</t>
  </si>
  <si>
    <t>less loans granted</t>
  </si>
  <si>
    <t>less deferred tax assets</t>
  </si>
  <si>
    <t>Net non-current assets</t>
  </si>
  <si>
    <t>Current assets</t>
  </si>
  <si>
    <t>less current loans granted</t>
  </si>
  <si>
    <t>less income tax receivables</t>
  </si>
  <si>
    <t>less cash and equivalents</t>
  </si>
  <si>
    <t>less assets of discontinued operations</t>
  </si>
  <si>
    <t>Net current assets</t>
  </si>
  <si>
    <t>less financial debt</t>
  </si>
  <si>
    <t>less income tax payable</t>
  </si>
  <si>
    <t>less provisions</t>
  </si>
  <si>
    <t>less liabilities of discontinued operations</t>
  </si>
  <si>
    <t>Net current liabilities</t>
  </si>
  <si>
    <t>Invested capital</t>
  </si>
  <si>
    <t>Revenue</t>
  </si>
  <si>
    <t>EBITDA (pre. associates)</t>
  </si>
  <si>
    <t>EBIT (pre. associates)</t>
  </si>
  <si>
    <t>Effective tax rate</t>
  </si>
  <si>
    <t>NOPAT</t>
  </si>
  <si>
    <t>ROIC (opening IC)</t>
  </si>
  <si>
    <t>Asset turnover</t>
  </si>
  <si>
    <t>EBITDA margin</t>
  </si>
  <si>
    <t>Asset Efficiency</t>
  </si>
  <si>
    <t>Tax Efficiency</t>
  </si>
  <si>
    <t>Receivable days</t>
  </si>
  <si>
    <t>Payable days</t>
  </si>
  <si>
    <t>NWC / revenues</t>
  </si>
  <si>
    <t>D&amp;A</t>
  </si>
  <si>
    <t>D&amp;A / IC</t>
  </si>
  <si>
    <t>D&amp;A / revenues</t>
  </si>
  <si>
    <t>ENTREPRISE VALUE</t>
  </si>
  <si>
    <t>Employee benefits</t>
  </si>
  <si>
    <t>Post-tax employee benefits</t>
  </si>
  <si>
    <t>Other long-term provisions</t>
  </si>
  <si>
    <t>Other short-term provisions</t>
  </si>
  <si>
    <t>Long-term financial debt</t>
  </si>
  <si>
    <t>Short-term financial debt</t>
  </si>
  <si>
    <t>Cash &amp; equivalents</t>
  </si>
  <si>
    <t>Minority interests</t>
  </si>
  <si>
    <t>Associates &amp; joint ventures</t>
  </si>
  <si>
    <t>EV (ex. market cap)</t>
  </si>
  <si>
    <t>Share price</t>
  </si>
  <si>
    <t>Market cap</t>
  </si>
  <si>
    <t>Enterprise Value</t>
  </si>
  <si>
    <t>EV/IC</t>
  </si>
  <si>
    <t>EV/EBITDA</t>
  </si>
  <si>
    <t>EV</t>
  </si>
  <si>
    <t>ROIC</t>
  </si>
  <si>
    <t>2026</t>
  </si>
  <si>
    <t>2027</t>
  </si>
  <si>
    <t>2028</t>
  </si>
  <si>
    <t>2029</t>
  </si>
  <si>
    <t>2030</t>
  </si>
  <si>
    <t>5.1.4 — Projections des revenus par segment (M€)</t>
  </si>
  <si>
    <t xml:space="preserve">Méthodologie : CAGR historique 2021-2025 ajusté par des facteurs qualitatifs propres à chaque segment </t>
  </si>
  <si>
    <t>◄ Données historiques</t>
  </si>
  <si>
    <t>Projections ►</t>
  </si>
  <si>
    <t xml:space="preserve">  CATALYSIS</t>
  </si>
  <si>
    <t>Chiffre d'affaires excluant les métaux précieux (M€)</t>
  </si>
  <si>
    <t>Scénario</t>
  </si>
  <si>
    <t xml:space="preserve">  Pessimiste</t>
  </si>
  <si>
    <t xml:space="preserve">  Central</t>
  </si>
  <si>
    <t xml:space="preserve">  Optimiste</t>
  </si>
  <si>
    <t>Taux de croissance annuel (%)</t>
  </si>
  <si>
    <t>Chiffre d'affaires incluant les métaux précieux (M€)</t>
  </si>
  <si>
    <t xml:space="preserve">  RECYCLAGE</t>
  </si>
  <si>
    <t xml:space="preserve">  BATTERY MATERIALS</t>
  </si>
  <si>
    <t>N/A</t>
  </si>
  <si>
    <t>Central</t>
  </si>
  <si>
    <t xml:space="preserve">  SPECIALTY MATERIALS</t>
  </si>
  <si>
    <t xml:space="preserve">  Pessimiste TOTAL SALES </t>
  </si>
  <si>
    <t xml:space="preserve">  Central TOTAL SALES </t>
  </si>
  <si>
    <t xml:space="preserve">Optimiste TOTAL SALES </t>
  </si>
  <si>
    <t xml:space="preserve">  5.1.4.2 — Projections de l'EBIT ajusté par segment (M€)</t>
  </si>
  <si>
    <t>Marge EBIT ajustée (%)</t>
  </si>
  <si>
    <t>EBIT ajusté (M€)</t>
  </si>
  <si>
    <t xml:space="preserve">  CORPORATE</t>
  </si>
  <si>
    <t xml:space="preserve">  Toutes scénarios</t>
  </si>
  <si>
    <t xml:space="preserve">  TOTAL GROUPE — EBIT AJUSTÉ (M€)</t>
  </si>
  <si>
    <t xml:space="preserve">  5.1.4.3 — Taux d'imposition effectif (ETR)</t>
  </si>
  <si>
    <t xml:space="preserve">  Historique ETR ajusté (%)</t>
  </si>
  <si>
    <t xml:space="preserve">  ETR ajusté (%)</t>
  </si>
  <si>
    <t xml:space="preserve">  ETR normalisé (excl. 2022 &amp; 2024)</t>
  </si>
  <si>
    <t xml:space="preserve">  Taux retenu pour les projections 2026–2030</t>
  </si>
  <si>
    <t xml:space="preserve">  NOPAT ajusté (M€)  =  EBIT ajusté groupe  ×  (1 – ETR)</t>
  </si>
  <si>
    <t xml:space="preserve">  5.1.4.4 — Dotations aux amortissements (D&amp;A)</t>
  </si>
  <si>
    <t xml:space="preserve">  Données historiques</t>
  </si>
  <si>
    <t xml:space="preserve">  D&amp;A (M€)</t>
  </si>
  <si>
    <t xml:space="preserve">  Actifs nets (PP&amp;E + incorporels, M€)</t>
  </si>
  <si>
    <t xml:space="preserve">  Taux de dépréciation implicite (%)</t>
  </si>
  <si>
    <t xml:space="preserve">  Taux normalisé (moyenne 2022–2025)</t>
  </si>
  <si>
    <t xml:space="preserve">  Taux retenu (arrondi conservateur)</t>
  </si>
  <si>
    <t xml:space="preserve">  Projections D&amp;A (M€) — méthode roll-forward (taux 10 %)</t>
  </si>
  <si>
    <t xml:space="preserve">  5.1.4.5 — Dépenses d'investissement (CAPEX)</t>
  </si>
  <si>
    <t xml:space="preserve">  CAPEX (M€)</t>
  </si>
  <si>
    <t xml:space="preserve">  CAPEX / D&amp;A historique (×)</t>
  </si>
  <si>
    <t xml:space="preserve">  Projections CAPEX (M€) </t>
  </si>
  <si>
    <t xml:space="preserve">  Ratio de contrôle CAPEX / D&amp;A projeté (×)</t>
  </si>
  <si>
    <t xml:space="preserve">  5.1.4.6 — Besoin en Fonds de Roulement (BFR / NWC) — ratios uniformes</t>
  </si>
  <si>
    <t xml:space="preserve">  Données historiques (liées au bilan)</t>
  </si>
  <si>
    <t xml:space="preserve">  Stocks (M€)</t>
  </si>
  <si>
    <t xml:space="preserve">  Créances clients (M€)</t>
  </si>
  <si>
    <t xml:space="preserve">  Dettes fournisseurs (M€)</t>
  </si>
  <si>
    <t xml:space="preserve">  BFR historique (M€)</t>
  </si>
  <si>
    <t xml:space="preserve">  Ratios historiques (base de calibration)</t>
  </si>
  <si>
    <t xml:space="preserve">  DIO (stocks / COGS)</t>
  </si>
  <si>
    <t xml:space="preserve">  DSO (créances / CA total)</t>
  </si>
  <si>
    <t xml:space="preserve">  DPO (dettes fourn. / CA total)</t>
  </si>
  <si>
    <t xml:space="preserve">  Paramètres retenus (uniformes — tous scénarios)</t>
  </si>
  <si>
    <t xml:space="preserve">  COGS / CA total retenu (%)</t>
  </si>
  <si>
    <t xml:space="preserve">  Revenus PM constants (M€, niveau 2025)</t>
  </si>
  <si>
    <t xml:space="preserve">  DIO retenu — tous scénarios (% COGS)</t>
  </si>
  <si>
    <t xml:space="preserve">  DSO retenu — tous scénarios (% CA total)</t>
  </si>
  <si>
    <t xml:space="preserve">  DPO retenu — tous scénarios (% CA total)</t>
  </si>
  <si>
    <t xml:space="preserve">  Projections BFR par scénario (M€) — différenciation par les revenus, pas les ratios</t>
  </si>
  <si>
    <t xml:space="preserve">  Pessimiste — CA total (M€)</t>
  </si>
  <si>
    <t xml:space="preserve">  Pessimiste — COGS (M€)</t>
  </si>
  <si>
    <t xml:space="preserve">  Pessimiste — Stocks (M€)</t>
  </si>
  <si>
    <t xml:space="preserve">  Pessimiste — Créances clients (M€)</t>
  </si>
  <si>
    <t xml:space="preserve">  Pessimiste — Dettes fournisseurs (M€)</t>
  </si>
  <si>
    <t xml:space="preserve">  Pessimiste — BFR (M€)</t>
  </si>
  <si>
    <t xml:space="preserve">  Pessimiste — ΔBFR (M€, + = sortie FCF)</t>
  </si>
  <si>
    <t xml:space="preserve">  Central — CA total (M€)</t>
  </si>
  <si>
    <t xml:space="preserve">  Central — COGS (M€)</t>
  </si>
  <si>
    <t xml:space="preserve">  Central — Stocks (M€)</t>
  </si>
  <si>
    <t xml:space="preserve">  Central — Créances clients (M€)</t>
  </si>
  <si>
    <t xml:space="preserve">  Central — Dettes fournisseurs (M€)</t>
  </si>
  <si>
    <t xml:space="preserve">  Central — BFR (M€)</t>
  </si>
  <si>
    <t xml:space="preserve">  Central — ΔBFR (M€, + = sortie FCF)</t>
  </si>
  <si>
    <t xml:space="preserve">  Optimiste — CA total (M€)</t>
  </si>
  <si>
    <t xml:space="preserve">  Optimiste — COGS (M€)</t>
  </si>
  <si>
    <t xml:space="preserve">  Optimiste — Stocks (M€)</t>
  </si>
  <si>
    <t xml:space="preserve">  Optimiste — Créances clients (M€)</t>
  </si>
  <si>
    <t xml:space="preserve">  Optimiste — Dettes fournisseurs (M€)</t>
  </si>
  <si>
    <t xml:space="preserve">  Optimiste — BFR (M€)</t>
  </si>
  <si>
    <t xml:space="preserve">  Optimiste — ΔBFR (M€, + = sortie FCF)</t>
  </si>
  <si>
    <t>Paramètre</t>
  </si>
  <si>
    <t>Valeur</t>
  </si>
  <si>
    <t>Source / Remarque</t>
  </si>
  <si>
    <t>Bloomberg Terminal, GDBR10 Index, avril 2026</t>
  </si>
  <si>
    <t>Formule : Kd = Rf + spread crédit synthétique</t>
  </si>
  <si>
    <t>Taux d'imposition effectif  —  t</t>
  </si>
  <si>
    <t>Hypothèse retenue dans les projections — Rapport Annuel Umicore 2024, Note F25</t>
  </si>
  <si>
    <t>Formule : Kd × (1 − taux d'imposition)</t>
  </si>
  <si>
    <t>Bloomberg Terminal — GDBR10 Index (Bund 10 ans, spot avril 2026)</t>
  </si>
  <si>
    <t>régression perso</t>
  </si>
  <si>
    <t>Bloomberg WACC screen — Implied Equity Risk Premium Belgique, avril 2026</t>
  </si>
  <si>
    <t>Sharpe (1964) ; Lintner (1965) — Capital Asset Pricing Model</t>
  </si>
  <si>
    <t>CAPM — Sharpe (1964) ; Lintner (1965)  |  Ke = 3,033% + 1,036 × 8,22% = 11,55%</t>
  </si>
  <si>
    <t>Valeur (M€)</t>
  </si>
  <si>
    <t>Poids</t>
  </si>
  <si>
    <t>Bloomberg Terminal — UMI BB Equity, CUR_MKT_CAP, avril 2026</t>
  </si>
  <si>
    <t>Pondération fonds propres  —  We</t>
  </si>
  <si>
    <t>Bloomberg WACC screen — Capital Structure (Market Value)</t>
  </si>
  <si>
    <t>Pondération dette  —  Wd</t>
  </si>
  <si>
    <t>Wd = 1 − We  (validation Bloomberg : 39,8%)</t>
  </si>
  <si>
    <t>Calcul implicite : D = E × (Wd / We). Cohérent avec dette FY2025 (~2 841 M€)</t>
  </si>
  <si>
    <t>Capital total  —  E + D</t>
  </si>
  <si>
    <t>Validation : E + D doit donner 4 306,06 / 0,602 ≈ 7 153 M€</t>
  </si>
  <si>
    <t>We + Wd</t>
  </si>
  <si>
    <t>Doit être strictement égal à 100,0%</t>
  </si>
  <si>
    <t>Mesure</t>
  </si>
  <si>
    <t>Source / Méthodologie</t>
  </si>
  <si>
    <t>Composante</t>
  </si>
  <si>
    <t>Taux</t>
  </si>
  <si>
    <t>Pondération</t>
  </si>
  <si>
    <t>Contribution</t>
  </si>
  <si>
    <t>Source</t>
  </si>
  <si>
    <t>Modigliani &amp; Miller (1958, 1963) — formule du WACC après-impôt</t>
  </si>
  <si>
    <t>6.0x</t>
  </si>
  <si>
    <t>6.5x</t>
  </si>
  <si>
    <t>7.0x</t>
  </si>
  <si>
    <t>7.5x</t>
  </si>
  <si>
    <t>WACC \ g</t>
  </si>
  <si>
    <t>1.0%</t>
  </si>
  <si>
    <t>1.5%</t>
  </si>
  <si>
    <t>2.0%</t>
  </si>
  <si>
    <t>2.5%</t>
  </si>
  <si>
    <t>3.0%</t>
  </si>
  <si>
    <t>WACC / multiple</t>
  </si>
  <si>
    <t>4.5x</t>
  </si>
  <si>
    <t>5.5x</t>
  </si>
  <si>
    <t>EBITDA ajusté (2030)</t>
  </si>
  <si>
    <t xml:space="preserve">Valeur terminale brute </t>
  </si>
  <si>
    <t>facteur d'actualisation</t>
  </si>
  <si>
    <t xml:space="preserve">dette nette </t>
  </si>
  <si>
    <t>valeur des CP</t>
  </si>
  <si>
    <t>nombres d'action</t>
  </si>
  <si>
    <t>prix par action</t>
  </si>
  <si>
    <t>Σ Valeur actuelle des FCF</t>
  </si>
  <si>
    <t xml:space="preserve">Multiple EV/EBITDA </t>
  </si>
  <si>
    <t>Enterprise Value [M€]</t>
  </si>
  <si>
    <t>DCF scénario pessimiste (multiple EBITDA)</t>
  </si>
  <si>
    <t>DCF scénario pessimiste (g)</t>
  </si>
  <si>
    <t>DCF scénario central (multiple EBITDA)</t>
  </si>
  <si>
    <t>DCF scénario central (g)</t>
  </si>
  <si>
    <t xml:space="preserve">DCF scénario optimiste (multiple EBITDA </t>
  </si>
  <si>
    <t>DCF scénario optimiste (g)</t>
  </si>
  <si>
    <t xml:space="preserve">prix final du DCF </t>
  </si>
  <si>
    <t xml:space="preserve">annexes </t>
  </si>
  <si>
    <t>17-20</t>
  </si>
  <si>
    <t>21-23</t>
  </si>
  <si>
    <t>24-27</t>
  </si>
  <si>
    <t>28-30</t>
  </si>
  <si>
    <t>31-34</t>
  </si>
  <si>
    <t>35-37</t>
  </si>
  <si>
    <t xml:space="preserve">fourchette de prix </t>
  </si>
  <si>
    <t xml:space="preserve">Damodaran, A. (Jan. 2025). Default Spreads </t>
  </si>
  <si>
    <t xml:space="preserve">Bêta levered </t>
  </si>
  <si>
    <t>Prime de risque actions — ERP</t>
  </si>
  <si>
    <t xml:space="preserve">Taux sans risque  —  Rf  </t>
  </si>
  <si>
    <t xml:space="preserve">Johnson Matthey PLC </t>
  </si>
  <si>
    <t xml:space="preserve">BASF SE </t>
  </si>
  <si>
    <t xml:space="preserve">ARKEMA </t>
  </si>
  <si>
    <t xml:space="preserve">LANXESS AG </t>
  </si>
  <si>
    <t xml:space="preserve">SOLVAY SA </t>
  </si>
  <si>
    <t>Belgique</t>
  </si>
  <si>
    <t>Allemagne</t>
  </si>
  <si>
    <t xml:space="preserve">Angleterre </t>
  </si>
  <si>
    <t>France</t>
  </si>
  <si>
    <t>Entreprise</t>
  </si>
  <si>
    <t>pays</t>
  </si>
  <si>
    <t xml:space="preserve">P/E </t>
  </si>
  <si>
    <t xml:space="preserve">Average </t>
  </si>
  <si>
    <t>Median</t>
  </si>
  <si>
    <t>market cap (Md€)</t>
  </si>
  <si>
    <t>dette nette (Md€)</t>
  </si>
  <si>
    <t>EV (Md€)</t>
  </si>
  <si>
    <t>CA (Md€)</t>
  </si>
  <si>
    <t>Umicore</t>
  </si>
  <si>
    <t>Multpile utilisé</t>
  </si>
  <si>
    <t>Mediane</t>
  </si>
  <si>
    <t>EV estimée (Md€)</t>
  </si>
  <si>
    <t>dette nette</t>
  </si>
  <si>
    <t>prix de l'action estimé</t>
  </si>
  <si>
    <t xml:space="preserve">P/E (FY 1) </t>
  </si>
  <si>
    <t>EV/EBITDA (FY1)</t>
  </si>
  <si>
    <t xml:space="preserve">        </t>
  </si>
  <si>
    <t xml:space="preserve">Multiple utilisé </t>
  </si>
  <si>
    <t>EV/EBITDA (+1)</t>
  </si>
  <si>
    <t>EV estimée</t>
  </si>
  <si>
    <t>Dette nette</t>
  </si>
  <si>
    <t>Valeur des CP</t>
  </si>
  <si>
    <t>Prix de l'action estimé</t>
  </si>
  <si>
    <t>P/E (-5)</t>
  </si>
  <si>
    <t>P/E (+5)</t>
  </si>
  <si>
    <t>EV/EBITDA (-2)</t>
  </si>
  <si>
    <t>7.97%</t>
  </si>
  <si>
    <t>8.47%</t>
  </si>
  <si>
    <t>8.97%</t>
  </si>
  <si>
    <t>4.0x</t>
  </si>
  <si>
    <t>5.0x</t>
  </si>
  <si>
    <t>9.0x</t>
  </si>
  <si>
    <t>10.0x</t>
  </si>
  <si>
    <t xml:space="preserve">NOPAT </t>
  </si>
  <si>
    <t>% Croissance</t>
  </si>
  <si>
    <t>Marge EBIT (%)</t>
  </si>
  <si>
    <t>Taux d'imposition (ETR)</t>
  </si>
  <si>
    <t>5,55€ - 11,57€</t>
  </si>
  <si>
    <t>8,13€ - 22,71€</t>
  </si>
  <si>
    <t>17,84€ - 27,3€</t>
  </si>
  <si>
    <t>17,30€ - 41,43€</t>
  </si>
  <si>
    <t>32,86€ - 45,67€</t>
  </si>
  <si>
    <t>25,23€ - 57,54€</t>
  </si>
  <si>
    <t>Free Cash Flow Prospectifs — Scénario pessimiste Umicore (2021–2030)</t>
  </si>
  <si>
    <t xml:space="preserve">NOPAT  </t>
  </si>
  <si>
    <t xml:space="preserve">  (+) Dette nette[M€]</t>
  </si>
  <si>
    <t>Free Cash Flow Prospectifs — Scénario optimiste Umicore (2021–2030)</t>
  </si>
  <si>
    <t xml:space="preserve">  Cours actuel </t>
  </si>
  <si>
    <t>VALEUR TERMINALE — APPROCHE MULTIPLE EV/EBITDA (SCÉNARIO pessimiste)</t>
  </si>
  <si>
    <t xml:space="preserve">Spread de crédit synthétique  </t>
  </si>
  <si>
    <t>β_adj = 1,59</t>
  </si>
  <si>
    <t xml:space="preserve">Coût de la dette après impôt  </t>
  </si>
  <si>
    <t xml:space="preserve">Coût de la dette brut  </t>
  </si>
  <si>
    <t xml:space="preserve">  A.  Étape 1 — Coût de la dette  (Kd)  </t>
  </si>
  <si>
    <t xml:space="preserve">  B.  Étape 2 — Coût des fonds propres  (Ke) </t>
  </si>
  <si>
    <t xml:space="preserve">  C.  Étape 3 — Structure du capital  </t>
  </si>
  <si>
    <t xml:space="preserve">  D.  Étape 4 — Calcul final du WACC  </t>
  </si>
  <si>
    <t>5.1.5 — Détermination du WACC</t>
  </si>
  <si>
    <t xml:space="preserve">Coût des fonds propres  —  Ke  </t>
  </si>
  <si>
    <t xml:space="preserve">Capitalisation boursière  </t>
  </si>
  <si>
    <t xml:space="preserve">Dette financière brute totale  —  D  </t>
  </si>
  <si>
    <t xml:space="preserve">Coût des fonds propres  </t>
  </si>
  <si>
    <t xml:space="preserve">  WACC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</si>
</sst>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8" formatCode="#,##0.00\ &quot;€&quot;_);[Red]\(#,##0.00\ &quot;€&quot;\)"/>
    <numFmt numFmtId="164" formatCode="#,##0.0;\(#,##0.0\);\-"/>
    <numFmt numFmtId="165" formatCode="0.0%;\(0.0%\);\-"/>
    <numFmt numFmtId="166" formatCode="#,##0.0"/>
    <numFmt numFmtId="167" formatCode="#,##0.00\x"/>
    <numFmt numFmtId="168" formatCode="#,##0.0\x"/>
    <numFmt numFmtId="169" formatCode="0.00\x"/>
    <numFmt numFmtId="170" formatCode="#,##0.0_);\(#,##0.0\)"/>
    <numFmt numFmtId="171" formatCode="0.0%"/>
    <numFmt numFmtId="172" formatCode="#,##0;\(#,##0\);\-"/>
    <numFmt numFmtId="173" formatCode="0.0"/>
    <numFmt numFmtId="174" formatCode="#,##0.0;\(#,##0.0\)"/>
    <numFmt numFmtId="175" formatCode="0.0000"/>
    <numFmt numFmtId="176" formatCode="0.00%;\(0.00%\);\-"/>
    <numFmt numFmtId="177" formatCode="0.000;\(0.000\);\-"/>
    <numFmt numFmtId="178" formatCode="#,##0.00\ &quot;€&quot;"/>
    <numFmt numFmtId="179" formatCode="0.0&quot;x&quot;"/>
    <numFmt numFmtId="180" formatCode="\+0.0%;\-0.0%"/>
    <numFmt numFmtId="181" formatCode="0\x"/>
    <numFmt numFmtId="182" formatCode="#,##0.0000"/>
    <numFmt numFmtId="183" formatCode="0.00&quot;€&quot;"/>
    <numFmt numFmtId="184" formatCode="0%;\(0%\);\-"/>
  </numFmts>
  <fonts count="72" x14ac:knownFonts="1">
    <font>
      <sz val="11"/>
      <color theme="1"/>
      <name val="Calibri"/>
      <family val="2"/>
      <charset val="1"/>
    </font>
    <font>
      <sz val="9"/>
      <color theme="1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0"/>
      <color rgb="FFFFFFFF"/>
      <name val="Arial"/>
      <family val="2"/>
      <charset val="1"/>
    </font>
    <font>
      <sz val="9"/>
      <color theme="0"/>
      <name val="Arial"/>
      <family val="2"/>
      <charset val="1"/>
    </font>
    <font>
      <b/>
      <sz val="9"/>
      <color rgb="FFFFFFFF"/>
      <name val="Arial"/>
      <family val="2"/>
      <charset val="1"/>
    </font>
    <font>
      <b/>
      <sz val="9"/>
      <color theme="0"/>
      <name val="Arial"/>
      <family val="2"/>
      <charset val="1"/>
    </font>
    <font>
      <b/>
      <sz val="9"/>
      <color rgb="FF2C2C2C"/>
      <name val="Arial"/>
      <family val="2"/>
      <charset val="1"/>
    </font>
    <font>
      <i/>
      <sz val="8"/>
      <color rgb="FF595959"/>
      <name val="Arial"/>
      <family val="2"/>
      <charset val="1"/>
    </font>
    <font>
      <b/>
      <sz val="8"/>
      <color rgb="FFFFFFFF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/>
      <sz val="9"/>
      <color rgb="FF595959"/>
      <name val="Arial"/>
      <family val="2"/>
      <charset val="1"/>
    </font>
    <font>
      <sz val="9"/>
      <color rgb="FF595959"/>
      <name val="Arial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i/>
      <sz val="10"/>
      <color rgb="FF595959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595959"/>
      <name val="Calibri"/>
      <family val="2"/>
      <charset val="1"/>
    </font>
    <font>
      <sz val="10"/>
      <color rgb="FF0000FF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595959"/>
      <name val="Calibri"/>
      <family val="2"/>
      <charset val="1"/>
    </font>
    <font>
      <b/>
      <sz val="11"/>
      <color rgb="FF595959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1F4E79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1F4E79"/>
      <name val="Calibri"/>
      <family val="2"/>
      <charset val="1"/>
    </font>
    <font>
      <sz val="11"/>
      <color rgb="FF595959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1F4E79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color rgb="FF1F4E79"/>
      <name val="Arial"/>
      <family val="2"/>
      <charset val="1"/>
    </font>
    <font>
      <sz val="10"/>
      <color rgb="FF1F4E79"/>
      <name val="Calibri"/>
      <family val="2"/>
      <charset val="1"/>
    </font>
    <font>
      <i/>
      <sz val="8"/>
      <color rgb="FF595959"/>
      <name val="Calibri"/>
      <family val="2"/>
      <charset val="1"/>
    </font>
    <font>
      <sz val="10"/>
      <name val="Arial"/>
      <family val="2"/>
      <charset val="1"/>
    </font>
    <font>
      <i/>
      <sz val="9"/>
      <color rgb="FF595959"/>
      <name val="Calibri"/>
      <family val="2"/>
      <charset val="1"/>
    </font>
    <font>
      <b/>
      <sz val="13"/>
      <color rgb="FFFFFFFF"/>
      <name val="Calibri"/>
      <family val="2"/>
      <charset val="1"/>
    </font>
    <font>
      <i/>
      <sz val="10"/>
      <color rgb="FF888888"/>
      <name val="Calibri"/>
      <family val="2"/>
      <charset val="1"/>
    </font>
    <font>
      <sz val="8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1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i/>
      <sz val="9"/>
      <color rgb="FFC00000"/>
      <name val="Calibri"/>
      <family val="2"/>
      <charset val="1"/>
    </font>
    <font>
      <b/>
      <sz val="12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i/>
      <sz val="10"/>
      <color rgb="FF1F3864"/>
      <name val="Calibri"/>
      <family val="2"/>
      <charset val="1"/>
    </font>
    <font>
      <b/>
      <sz val="10"/>
      <color rgb="FFFFFFFF"/>
      <name val="Calibri"/>
      <family val="2"/>
    </font>
    <font>
      <i/>
      <sz val="8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9"/>
      <color rgb="FFFFFFFF"/>
      <name val="Calibri"/>
      <family val="2"/>
    </font>
    <font>
      <i/>
      <sz val="7.5"/>
      <color rgb="FF595959"/>
      <name val="Calibri"/>
      <family val="2"/>
    </font>
    <font>
      <b/>
      <sz val="10"/>
      <color rgb="FFFFFFFF"/>
      <name val="Calibri"/>
      <family val="2"/>
    </font>
    <font>
      <i/>
      <sz val="8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FFFFFF"/>
      <name val="Calibri"/>
      <family val="2"/>
    </font>
    <font>
      <b/>
      <sz val="9"/>
      <name val="Calibri"/>
      <family val="2"/>
    </font>
    <font>
      <i/>
      <sz val="7.5"/>
      <color rgb="FF595959"/>
      <name val="Calibri"/>
      <family val="2"/>
    </font>
    <font>
      <i/>
      <sz val="8"/>
      <name val="Calibri"/>
      <family val="2"/>
      <charset val="1"/>
    </font>
    <font>
      <sz val="10"/>
      <name val="Calibri"/>
      <family val="2"/>
    </font>
    <font>
      <b/>
      <i/>
      <sz val="10"/>
      <name val="Calibri"/>
      <family val="2"/>
    </font>
    <font>
      <i/>
      <sz val="9"/>
      <color rgb="FF595959"/>
      <name val="Calibri"/>
      <family val="2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10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rgb="FF1F3864"/>
        <bgColor rgb="FF1F4E79"/>
      </patternFill>
    </fill>
    <fill>
      <patternFill patternType="solid">
        <fgColor rgb="FF2E75B6"/>
        <bgColor rgb="FF0F6FC6"/>
      </patternFill>
    </fill>
    <fill>
      <patternFill patternType="solid">
        <fgColor rgb="FFD6E4F7"/>
        <bgColor rgb="FFD9E1F2"/>
      </patternFill>
    </fill>
    <fill>
      <patternFill patternType="solid">
        <fgColor rgb="FF00B050"/>
        <bgColor rgb="FF33CCCC"/>
      </patternFill>
    </fill>
    <fill>
      <patternFill patternType="solid">
        <fgColor rgb="FF0070C0"/>
        <bgColor rgb="FF0F6FC6"/>
      </patternFill>
    </fill>
    <fill>
      <patternFill patternType="solid">
        <fgColor theme="4"/>
        <bgColor rgb="FF0070C0"/>
      </patternFill>
    </fill>
    <fill>
      <patternFill patternType="solid">
        <fgColor rgb="FFF5E6CE"/>
        <bgColor rgb="FFFCE4D6"/>
      </patternFill>
    </fill>
    <fill>
      <patternFill patternType="solid">
        <fgColor rgb="FFF5F8FF"/>
        <bgColor rgb="FFF8F9FA"/>
      </patternFill>
    </fill>
    <fill>
      <patternFill patternType="solid">
        <fgColor rgb="FFE67E22"/>
        <bgColor rgb="FFFF9900"/>
      </patternFill>
    </fill>
    <fill>
      <patternFill patternType="solid">
        <fgColor rgb="FFF2F2F2"/>
        <bgColor rgb="FFEDEDED"/>
      </patternFill>
    </fill>
    <fill>
      <patternFill patternType="solid">
        <fgColor rgb="FFFFE4E1"/>
        <bgColor rgb="FFFCE4D6"/>
      </patternFill>
    </fill>
    <fill>
      <patternFill patternType="solid">
        <fgColor rgb="FFE8F4FD"/>
        <bgColor rgb="FFF2F2F2"/>
      </patternFill>
    </fill>
    <fill>
      <patternFill patternType="solid">
        <fgColor rgb="FFE8F8E8"/>
        <bgColor rgb="FFE8F4FD"/>
      </patternFill>
    </fill>
    <fill>
      <patternFill patternType="solid">
        <fgColor rgb="FFF8F9FA"/>
        <bgColor rgb="FFF8F8F8"/>
      </patternFill>
    </fill>
    <fill>
      <patternFill patternType="solid">
        <fgColor rgb="FFFFFFFF"/>
        <bgColor rgb="FFF8F9FA"/>
      </patternFill>
    </fill>
    <fill>
      <patternFill patternType="solid">
        <fgColor rgb="FF4A4A8F"/>
        <bgColor rgb="FF2E4E8C"/>
      </patternFill>
    </fill>
    <fill>
      <patternFill patternType="solid">
        <fgColor rgb="FF1B5E20"/>
        <bgColor rgb="FF1F4E79"/>
      </patternFill>
    </fill>
    <fill>
      <patternFill patternType="solid">
        <fgColor rgb="FFF8F8F8"/>
        <bgColor rgb="FFF8F9FA"/>
      </patternFill>
    </fill>
    <fill>
      <patternFill patternType="solid">
        <fgColor rgb="FFEDEDED"/>
        <bgColor rgb="FFF2F2F2"/>
      </patternFill>
    </fill>
    <fill>
      <patternFill patternType="solid">
        <fgColor rgb="FF2E4E8C"/>
        <bgColor rgb="FF1F4E79"/>
      </patternFill>
    </fill>
    <fill>
      <patternFill patternType="solid">
        <fgColor rgb="FFFCE4D6"/>
        <bgColor rgb="FFFFE4E1"/>
      </patternFill>
    </fill>
    <fill>
      <patternFill patternType="solid">
        <fgColor rgb="FFD9E1F2"/>
        <bgColor rgb="FFD6E4F7"/>
      </patternFill>
    </fill>
    <fill>
      <patternFill patternType="solid">
        <fgColor rgb="FFFFF2CC"/>
        <bgColor rgb="FFF5E6CE"/>
      </patternFill>
    </fill>
    <fill>
      <patternFill patternType="solid">
        <fgColor rgb="FFC6EFCE"/>
        <bgColor rgb="FFD6E4F7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theme="8" tint="-0.249977111117893"/>
        <bgColor rgb="FFE67E2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rgb="FFCCCCCC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theme="8" tint="-0.249977111117893"/>
        <bgColor rgb="FF80808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8E6C9"/>
      </patternFill>
    </fill>
    <fill>
      <patternFill patternType="solid">
        <fgColor rgb="FF1A6B3C"/>
      </patternFill>
    </fill>
    <fill>
      <patternFill patternType="solid">
        <fgColor rgb="FF4CAF50"/>
      </patternFill>
    </fill>
    <fill>
      <patternFill patternType="solid">
        <fgColor rgb="FFE8F5E9"/>
      </patternFill>
    </fill>
  </fills>
  <borders count="20">
    <border>
      <left/>
      <right/>
      <top/>
      <bottom/>
      <diagonal/>
    </border>
    <border>
      <left style="thin">
        <color rgb="FFB8C9E1"/>
      </left>
      <right style="thin">
        <color rgb="FFB8C9E1"/>
      </right>
      <top style="thin">
        <color rgb="FFB8C9E1"/>
      </top>
      <bottom style="thin">
        <color rgb="FFB8C9E1"/>
      </bottom>
      <diagonal/>
    </border>
    <border>
      <left/>
      <right/>
      <top style="thin">
        <color rgb="FFB8C9E1"/>
      </top>
      <bottom/>
      <diagonal/>
    </border>
    <border>
      <left/>
      <right/>
      <top/>
      <bottom style="thin">
        <color rgb="FFB8C9E1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B8C9E1"/>
      </top>
      <bottom style="thin">
        <color rgb="FFB8C9E1"/>
      </bottom>
      <diagonal/>
    </border>
    <border>
      <left/>
      <right style="thin">
        <color rgb="FFB8C9E1"/>
      </right>
      <top style="thin">
        <color rgb="FFB8C9E1"/>
      </top>
      <bottom style="thin">
        <color rgb="FFB8C9E1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rgb="FFC55A11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rgb="FFC55A11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</borders>
  <cellStyleXfs count="3">
    <xf numFmtId="0" fontId="0" fillId="0" borderId="0"/>
    <xf numFmtId="9" fontId="34" fillId="0" borderId="0"/>
    <xf numFmtId="0" fontId="1" fillId="0" borderId="0"/>
  </cellStyleXfs>
  <cellXfs count="334">
    <xf numFmtId="0" fontId="0" fillId="0" borderId="0" xfId="0"/>
    <xf numFmtId="0" fontId="3" fillId="3" borderId="1" xfId="0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6" fontId="1" fillId="4" borderId="1" xfId="0" applyNumberFormat="1" applyFont="1" applyFill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/>
    <xf numFmtId="0" fontId="1" fillId="0" borderId="1" xfId="0" applyFont="1" applyBorder="1"/>
    <xf numFmtId="10" fontId="1" fillId="0" borderId="1" xfId="0" applyNumberFormat="1" applyFont="1" applyBorder="1"/>
    <xf numFmtId="0" fontId="1" fillId="4" borderId="1" xfId="0" applyFont="1" applyFill="1" applyBorder="1"/>
    <xf numFmtId="10" fontId="1" fillId="4" borderId="1" xfId="0" applyNumberFormat="1" applyFont="1" applyFill="1" applyBorder="1"/>
    <xf numFmtId="164" fontId="1" fillId="0" borderId="1" xfId="0" applyNumberFormat="1" applyFont="1" applyBorder="1"/>
    <xf numFmtId="165" fontId="1" fillId="4" borderId="1" xfId="0" applyNumberFormat="1" applyFont="1" applyFill="1" applyBorder="1"/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right" vertical="center"/>
    </xf>
    <xf numFmtId="10" fontId="1" fillId="4" borderId="1" xfId="0" applyNumberFormat="1" applyFont="1" applyFill="1" applyBorder="1" applyAlignment="1">
      <alignment vertical="center"/>
    </xf>
    <xf numFmtId="10" fontId="1" fillId="0" borderId="1" xfId="0" applyNumberFormat="1" applyFont="1" applyBorder="1" applyAlignment="1">
      <alignment vertical="center"/>
    </xf>
    <xf numFmtId="9" fontId="1" fillId="4" borderId="1" xfId="0" applyNumberFormat="1" applyFont="1" applyFill="1" applyBorder="1" applyAlignment="1">
      <alignment vertical="center"/>
    </xf>
    <xf numFmtId="167" fontId="1" fillId="0" borderId="1" xfId="0" applyNumberFormat="1" applyFont="1" applyBorder="1" applyAlignment="1">
      <alignment vertical="center"/>
    </xf>
    <xf numFmtId="168" fontId="1" fillId="4" borderId="1" xfId="0" applyNumberFormat="1" applyFont="1" applyFill="1" applyBorder="1" applyAlignment="1">
      <alignment vertical="center"/>
    </xf>
    <xf numFmtId="169" fontId="1" fillId="4" borderId="1" xfId="0" applyNumberFormat="1" applyFont="1" applyFill="1" applyBorder="1" applyAlignment="1">
      <alignment vertical="center"/>
    </xf>
    <xf numFmtId="170" fontId="5" fillId="3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0" fontId="1" fillId="4" borderId="1" xfId="0" applyNumberFormat="1" applyFont="1" applyFill="1" applyBorder="1" applyAlignment="1">
      <alignment horizontal="right" vertical="center"/>
    </xf>
    <xf numFmtId="10" fontId="1" fillId="0" borderId="1" xfId="0" applyNumberFormat="1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/>
    </xf>
    <xf numFmtId="169" fontId="1" fillId="0" borderId="1" xfId="0" applyNumberFormat="1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164" fontId="1" fillId="4" borderId="1" xfId="0" applyNumberFormat="1" applyFont="1" applyFill="1" applyBorder="1" applyAlignment="1">
      <alignment horizontal="right" vertical="center"/>
    </xf>
    <xf numFmtId="166" fontId="1" fillId="4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9" fontId="0" fillId="0" borderId="0" xfId="0" applyNumberFormat="1"/>
    <xf numFmtId="10" fontId="0" fillId="0" borderId="0" xfId="0" applyNumberFormat="1"/>
    <xf numFmtId="0" fontId="4" fillId="6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vertical="center"/>
    </xf>
    <xf numFmtId="169" fontId="5" fillId="3" borderId="1" xfId="0" applyNumberFormat="1" applyFont="1" applyFill="1" applyBorder="1" applyAlignment="1">
      <alignment horizontal="right" vertical="center"/>
    </xf>
    <xf numFmtId="169" fontId="1" fillId="4" borderId="1" xfId="0" applyNumberFormat="1" applyFont="1" applyFill="1" applyBorder="1" applyAlignment="1">
      <alignment horizontal="right" vertical="center"/>
    </xf>
    <xf numFmtId="165" fontId="1" fillId="4" borderId="1" xfId="0" applyNumberFormat="1" applyFont="1" applyFill="1" applyBorder="1" applyAlignment="1">
      <alignment horizontal="right" vertical="center"/>
    </xf>
    <xf numFmtId="10" fontId="5" fillId="3" borderId="1" xfId="0" applyNumberFormat="1" applyFont="1" applyFill="1" applyBorder="1" applyAlignment="1">
      <alignment horizontal="right" vertical="center"/>
    </xf>
    <xf numFmtId="0" fontId="0" fillId="3" borderId="1" xfId="0" applyFill="1" applyBorder="1"/>
    <xf numFmtId="0" fontId="5" fillId="3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3" borderId="0" xfId="0" applyFill="1"/>
    <xf numFmtId="0" fontId="10" fillId="11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left" vertical="center"/>
    </xf>
    <xf numFmtId="0" fontId="11" fillId="12" borderId="1" xfId="0" applyFont="1" applyFill="1" applyBorder="1" applyAlignment="1">
      <alignment horizontal="left" vertical="center"/>
    </xf>
    <xf numFmtId="166" fontId="11" fillId="11" borderId="1" xfId="0" applyNumberFormat="1" applyFont="1" applyFill="1" applyBorder="1" applyAlignment="1">
      <alignment horizontal="right" vertical="center"/>
    </xf>
    <xf numFmtId="166" fontId="11" fillId="12" borderId="1" xfId="0" applyNumberFormat="1" applyFont="1" applyFill="1" applyBorder="1" applyAlignment="1">
      <alignment horizontal="right" vertical="center"/>
    </xf>
    <xf numFmtId="0" fontId="10" fillId="13" borderId="1" xfId="0" applyFont="1" applyFill="1" applyBorder="1" applyAlignment="1">
      <alignment horizontal="left" vertical="center"/>
    </xf>
    <xf numFmtId="166" fontId="10" fillId="13" borderId="1" xfId="0" applyNumberFormat="1" applyFont="1" applyFill="1" applyBorder="1" applyAlignment="1">
      <alignment horizontal="right" vertical="center"/>
    </xf>
    <xf numFmtId="0" fontId="11" fillId="14" borderId="1" xfId="0" applyFont="1" applyFill="1" applyBorder="1" applyAlignment="1">
      <alignment horizontal="left" vertical="center"/>
    </xf>
    <xf numFmtId="166" fontId="11" fillId="14" borderId="1" xfId="0" applyNumberFormat="1" applyFont="1" applyFill="1" applyBorder="1" applyAlignment="1">
      <alignment horizontal="right" vertical="center"/>
    </xf>
    <xf numFmtId="0" fontId="12" fillId="15" borderId="1" xfId="0" applyFont="1" applyFill="1" applyBorder="1" applyAlignment="1">
      <alignment horizontal="left" vertical="center"/>
    </xf>
    <xf numFmtId="0" fontId="0" fillId="15" borderId="1" xfId="0" applyFill="1" applyBorder="1"/>
    <xf numFmtId="0" fontId="13" fillId="12" borderId="1" xfId="0" applyFont="1" applyFill="1" applyBorder="1" applyAlignment="1">
      <alignment horizontal="left" vertical="center"/>
    </xf>
    <xf numFmtId="0" fontId="13" fillId="11" borderId="1" xfId="0" applyFont="1" applyFill="1" applyBorder="1" applyAlignment="1">
      <alignment horizontal="center"/>
    </xf>
    <xf numFmtId="171" fontId="11" fillId="11" borderId="1" xfId="0" applyNumberFormat="1" applyFont="1" applyFill="1" applyBorder="1" applyAlignment="1">
      <alignment horizontal="right" vertical="center"/>
    </xf>
    <xf numFmtId="171" fontId="11" fillId="12" borderId="1" xfId="0" applyNumberFormat="1" applyFont="1" applyFill="1" applyBorder="1" applyAlignment="1">
      <alignment horizontal="right" vertical="center"/>
    </xf>
    <xf numFmtId="0" fontId="12" fillId="13" borderId="1" xfId="0" applyFont="1" applyFill="1" applyBorder="1" applyAlignment="1">
      <alignment horizontal="left" vertical="center"/>
    </xf>
    <xf numFmtId="171" fontId="11" fillId="13" borderId="1" xfId="0" applyNumberFormat="1" applyFont="1" applyFill="1" applyBorder="1" applyAlignment="1">
      <alignment horizontal="right" vertical="center"/>
    </xf>
    <xf numFmtId="0" fontId="13" fillId="14" borderId="1" xfId="0" applyFont="1" applyFill="1" applyBorder="1" applyAlignment="1">
      <alignment horizontal="left" vertical="center"/>
    </xf>
    <xf numFmtId="171" fontId="11" fillId="14" borderId="1" xfId="0" applyNumberFormat="1" applyFont="1" applyFill="1" applyBorder="1" applyAlignment="1">
      <alignment horizontal="right" vertical="center"/>
    </xf>
    <xf numFmtId="0" fontId="0" fillId="16" borderId="0" xfId="0" applyFill="1"/>
    <xf numFmtId="0" fontId="15" fillId="11" borderId="0" xfId="0" applyFont="1" applyFill="1" applyAlignment="1">
      <alignment horizontal="left" vertical="center"/>
    </xf>
    <xf numFmtId="0" fontId="0" fillId="11" borderId="0" xfId="0" applyFill="1"/>
    <xf numFmtId="0" fontId="16" fillId="0" borderId="0" xfId="0" applyFont="1" applyAlignment="1">
      <alignment horizontal="center" vertical="center"/>
    </xf>
    <xf numFmtId="166" fontId="17" fillId="0" borderId="0" xfId="0" applyNumberFormat="1" applyFont="1"/>
    <xf numFmtId="166" fontId="17" fillId="12" borderId="0" xfId="0" applyNumberFormat="1" applyFont="1" applyFill="1"/>
    <xf numFmtId="166" fontId="17" fillId="13" borderId="0" xfId="0" applyNumberFormat="1" applyFont="1" applyFill="1"/>
    <xf numFmtId="166" fontId="17" fillId="14" borderId="0" xfId="0" applyNumberFormat="1" applyFont="1" applyFill="1"/>
    <xf numFmtId="0" fontId="18" fillId="0" borderId="0" xfId="0" applyFont="1"/>
    <xf numFmtId="171" fontId="17" fillId="0" borderId="0" xfId="0" applyNumberFormat="1" applyFont="1"/>
    <xf numFmtId="171" fontId="19" fillId="12" borderId="0" xfId="0" applyNumberFormat="1" applyFont="1" applyFill="1"/>
    <xf numFmtId="171" fontId="19" fillId="13" borderId="0" xfId="0" applyNumberFormat="1" applyFont="1" applyFill="1"/>
    <xf numFmtId="171" fontId="19" fillId="14" borderId="0" xfId="0" applyNumberFormat="1" applyFont="1" applyFill="1"/>
    <xf numFmtId="0" fontId="11" fillId="0" borderId="0" xfId="0" applyFont="1" applyAlignment="1">
      <alignment horizontal="left" vertical="center"/>
    </xf>
    <xf numFmtId="166" fontId="16" fillId="0" borderId="0" xfId="0" applyNumberFormat="1" applyFont="1" applyAlignment="1">
      <alignment horizontal="center" vertical="center"/>
    </xf>
    <xf numFmtId="0" fontId="23" fillId="12" borderId="0" xfId="0" applyFont="1" applyFill="1" applyAlignment="1">
      <alignment horizontal="left" vertical="center"/>
    </xf>
    <xf numFmtId="171" fontId="23" fillId="11" borderId="0" xfId="0" applyNumberFormat="1" applyFont="1" applyFill="1" applyAlignment="1">
      <alignment horizontal="right" vertical="center"/>
    </xf>
    <xf numFmtId="171" fontId="24" fillId="12" borderId="0" xfId="0" applyNumberFormat="1" applyFont="1" applyFill="1" applyAlignment="1">
      <alignment horizontal="right" vertical="center"/>
    </xf>
    <xf numFmtId="0" fontId="25" fillId="13" borderId="0" xfId="0" applyFont="1" applyFill="1" applyAlignment="1">
      <alignment horizontal="left" vertical="center"/>
    </xf>
    <xf numFmtId="171" fontId="25" fillId="11" borderId="0" xfId="0" applyNumberFormat="1" applyFont="1" applyFill="1" applyAlignment="1">
      <alignment horizontal="right" vertical="center"/>
    </xf>
    <xf numFmtId="171" fontId="26" fillId="13" borderId="0" xfId="0" applyNumberFormat="1" applyFont="1" applyFill="1" applyAlignment="1">
      <alignment horizontal="right" vertical="center"/>
    </xf>
    <xf numFmtId="0" fontId="23" fillId="14" borderId="0" xfId="0" applyFont="1" applyFill="1" applyAlignment="1">
      <alignment horizontal="left" vertical="center"/>
    </xf>
    <xf numFmtId="171" fontId="24" fillId="14" borderId="0" xfId="0" applyNumberFormat="1" applyFont="1" applyFill="1" applyAlignment="1">
      <alignment horizontal="right" vertical="center"/>
    </xf>
    <xf numFmtId="166" fontId="23" fillId="11" borderId="0" xfId="0" applyNumberFormat="1" applyFont="1" applyFill="1" applyAlignment="1">
      <alignment horizontal="right" vertical="center"/>
    </xf>
    <xf numFmtId="166" fontId="23" fillId="12" borderId="0" xfId="0" applyNumberFormat="1" applyFont="1" applyFill="1" applyAlignment="1">
      <alignment horizontal="right" vertical="center"/>
    </xf>
    <xf numFmtId="166" fontId="25" fillId="11" borderId="0" xfId="0" applyNumberFormat="1" applyFont="1" applyFill="1" applyAlignment="1">
      <alignment horizontal="right" vertical="center"/>
    </xf>
    <xf numFmtId="166" fontId="25" fillId="13" borderId="0" xfId="0" applyNumberFormat="1" applyFont="1" applyFill="1" applyAlignment="1">
      <alignment horizontal="right" vertical="center"/>
    </xf>
    <xf numFmtId="166" fontId="23" fillId="14" borderId="0" xfId="0" applyNumberFormat="1" applyFont="1" applyFill="1" applyAlignment="1">
      <alignment horizontal="right" vertical="center"/>
    </xf>
    <xf numFmtId="0" fontId="27" fillId="11" borderId="0" xfId="0" applyFont="1" applyFill="1" applyAlignment="1">
      <alignment horizontal="right" vertical="center"/>
    </xf>
    <xf numFmtId="0" fontId="22" fillId="11" borderId="0" xfId="0" applyFont="1" applyFill="1" applyAlignment="1">
      <alignment horizontal="right" vertical="center"/>
    </xf>
    <xf numFmtId="0" fontId="23" fillId="20" borderId="0" xfId="0" applyFont="1" applyFill="1" applyAlignment="1">
      <alignment horizontal="left" vertical="center"/>
    </xf>
    <xf numFmtId="166" fontId="24" fillId="20" borderId="0" xfId="0" applyNumberFormat="1" applyFont="1" applyFill="1" applyAlignment="1">
      <alignment horizontal="right" vertical="center"/>
    </xf>
    <xf numFmtId="171" fontId="23" fillId="12" borderId="0" xfId="0" applyNumberFormat="1" applyFont="1" applyFill="1" applyAlignment="1">
      <alignment horizontal="right" vertical="center"/>
    </xf>
    <xf numFmtId="171" fontId="25" fillId="13" borderId="0" xfId="0" applyNumberFormat="1" applyFont="1" applyFill="1" applyAlignment="1">
      <alignment horizontal="right" vertical="center"/>
    </xf>
    <xf numFmtId="171" fontId="23" fillId="14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3" fillId="21" borderId="0" xfId="0" applyFont="1" applyFill="1" applyAlignment="1">
      <alignment horizontal="left" vertical="center"/>
    </xf>
    <xf numFmtId="0" fontId="0" fillId="21" borderId="0" xfId="0" applyFill="1"/>
    <xf numFmtId="0" fontId="28" fillId="0" borderId="0" xfId="0" applyFont="1" applyAlignment="1">
      <alignment horizontal="left" vertical="center"/>
    </xf>
    <xf numFmtId="171" fontId="28" fillId="11" borderId="0" xfId="0" applyNumberFormat="1" applyFont="1" applyFill="1" applyAlignment="1">
      <alignment horizontal="center" vertical="center"/>
    </xf>
    <xf numFmtId="0" fontId="28" fillId="12" borderId="0" xfId="0" applyFont="1" applyFill="1" applyAlignment="1">
      <alignment horizontal="left" vertical="center"/>
    </xf>
    <xf numFmtId="165" fontId="29" fillId="12" borderId="0" xfId="0" applyNumberFormat="1" applyFont="1" applyFill="1" applyAlignment="1">
      <alignment horizontal="center" vertical="center"/>
    </xf>
    <xf numFmtId="0" fontId="30" fillId="13" borderId="0" xfId="0" applyFont="1" applyFill="1" applyAlignment="1">
      <alignment horizontal="left" vertical="center"/>
    </xf>
    <xf numFmtId="165" fontId="31" fillId="13" borderId="0" xfId="0" applyNumberFormat="1" applyFont="1" applyFill="1" applyAlignment="1">
      <alignment horizontal="center" vertical="center"/>
    </xf>
    <xf numFmtId="0" fontId="28" fillId="14" borderId="0" xfId="0" applyFont="1" applyFill="1" applyAlignment="1">
      <alignment horizontal="left" vertical="center"/>
    </xf>
    <xf numFmtId="165" fontId="29" fillId="14" borderId="0" xfId="0" applyNumberFormat="1" applyFont="1" applyFill="1" applyAlignment="1">
      <alignment horizontal="center" vertical="center"/>
    </xf>
    <xf numFmtId="172" fontId="28" fillId="11" borderId="0" xfId="0" applyNumberFormat="1" applyFont="1" applyFill="1" applyAlignment="1">
      <alignment horizontal="center" vertical="center"/>
    </xf>
    <xf numFmtId="172" fontId="28" fillId="12" borderId="0" xfId="0" applyNumberFormat="1" applyFont="1" applyFill="1" applyAlignment="1">
      <alignment horizontal="center" vertical="center"/>
    </xf>
    <xf numFmtId="172" fontId="30" fillId="13" borderId="0" xfId="0" applyNumberFormat="1" applyFont="1" applyFill="1" applyAlignment="1">
      <alignment horizontal="center" vertical="center"/>
    </xf>
    <xf numFmtId="172" fontId="28" fillId="14" borderId="0" xfId="0" applyNumberFormat="1" applyFont="1" applyFill="1" applyAlignment="1">
      <alignment horizontal="center" vertical="center"/>
    </xf>
    <xf numFmtId="0" fontId="14" fillId="2" borderId="0" xfId="0" applyFont="1" applyFill="1"/>
    <xf numFmtId="0" fontId="14" fillId="21" borderId="0" xfId="0" applyFont="1" applyFill="1"/>
    <xf numFmtId="0" fontId="17" fillId="11" borderId="0" xfId="0" applyFont="1" applyFill="1"/>
    <xf numFmtId="172" fontId="17" fillId="11" borderId="0" xfId="0" applyNumberFormat="1" applyFont="1" applyFill="1"/>
    <xf numFmtId="165" fontId="17" fillId="11" borderId="0" xfId="0" applyNumberFormat="1" applyFont="1" applyFill="1"/>
    <xf numFmtId="165" fontId="32" fillId="11" borderId="0" xfId="0" applyNumberFormat="1" applyFont="1" applyFill="1"/>
    <xf numFmtId="0" fontId="17" fillId="12" borderId="0" xfId="0" applyFont="1" applyFill="1"/>
    <xf numFmtId="172" fontId="32" fillId="12" borderId="0" xfId="0" applyNumberFormat="1" applyFont="1" applyFill="1"/>
    <xf numFmtId="0" fontId="17" fillId="13" borderId="0" xfId="0" applyFont="1" applyFill="1"/>
    <xf numFmtId="172" fontId="32" fillId="13" borderId="0" xfId="0" applyNumberFormat="1" applyFont="1" applyFill="1"/>
    <xf numFmtId="0" fontId="17" fillId="14" borderId="0" xfId="0" applyFont="1" applyFill="1"/>
    <xf numFmtId="172" fontId="32" fillId="14" borderId="0" xfId="0" applyNumberFormat="1" applyFont="1" applyFill="1"/>
    <xf numFmtId="0" fontId="33" fillId="16" borderId="0" xfId="0" applyFont="1" applyFill="1" applyAlignment="1">
      <alignment wrapText="1"/>
    </xf>
    <xf numFmtId="0" fontId="34" fillId="0" borderId="0" xfId="1" applyNumberFormat="1"/>
    <xf numFmtId="166" fontId="17" fillId="11" borderId="0" xfId="0" applyNumberFormat="1" applyFont="1" applyFill="1"/>
    <xf numFmtId="169" fontId="17" fillId="12" borderId="0" xfId="0" applyNumberFormat="1" applyFont="1" applyFill="1"/>
    <xf numFmtId="169" fontId="17" fillId="13" borderId="0" xfId="0" applyNumberFormat="1" applyFont="1" applyFill="1"/>
    <xf numFmtId="169" fontId="17" fillId="14" borderId="0" xfId="0" applyNumberFormat="1" applyFont="1" applyFill="1"/>
    <xf numFmtId="0" fontId="15" fillId="11" borderId="0" xfId="0" applyFont="1" applyFill="1"/>
    <xf numFmtId="172" fontId="15" fillId="11" borderId="0" xfId="0" applyNumberFormat="1" applyFont="1" applyFill="1"/>
    <xf numFmtId="172" fontId="32" fillId="11" borderId="0" xfId="0" applyNumberFormat="1" applyFont="1" applyFill="1"/>
    <xf numFmtId="172" fontId="17" fillId="12" borderId="0" xfId="0" applyNumberFormat="1" applyFont="1" applyFill="1"/>
    <xf numFmtId="0" fontId="15" fillId="12" borderId="0" xfId="0" applyFont="1" applyFill="1"/>
    <xf numFmtId="172" fontId="15" fillId="12" borderId="0" xfId="0" applyNumberFormat="1" applyFont="1" applyFill="1"/>
    <xf numFmtId="166" fontId="15" fillId="11" borderId="0" xfId="0" applyNumberFormat="1" applyFont="1" applyFill="1"/>
    <xf numFmtId="166" fontId="15" fillId="12" borderId="0" xfId="0" applyNumberFormat="1" applyFont="1" applyFill="1"/>
    <xf numFmtId="172" fontId="17" fillId="13" borderId="0" xfId="0" applyNumberFormat="1" applyFont="1" applyFill="1"/>
    <xf numFmtId="0" fontId="15" fillId="13" borderId="0" xfId="0" applyFont="1" applyFill="1"/>
    <xf numFmtId="172" fontId="15" fillId="13" borderId="0" xfId="0" applyNumberFormat="1" applyFont="1" applyFill="1"/>
    <xf numFmtId="172" fontId="17" fillId="14" borderId="0" xfId="0" applyNumberFormat="1" applyFont="1" applyFill="1"/>
    <xf numFmtId="0" fontId="15" fillId="14" borderId="0" xfId="0" applyFont="1" applyFill="1"/>
    <xf numFmtId="172" fontId="15" fillId="14" borderId="0" xfId="0" applyNumberFormat="1" applyFont="1" applyFill="1"/>
    <xf numFmtId="0" fontId="17" fillId="11" borderId="5" xfId="0" applyFont="1" applyFill="1" applyBorder="1" applyAlignment="1">
      <alignment horizontal="left" vertical="center"/>
    </xf>
    <xf numFmtId="166" fontId="17" fillId="11" borderId="5" xfId="0" applyNumberFormat="1" applyFont="1" applyFill="1" applyBorder="1" applyAlignment="1">
      <alignment horizontal="center" vertical="center"/>
    </xf>
    <xf numFmtId="0" fontId="17" fillId="11" borderId="5" xfId="0" applyFont="1" applyFill="1" applyBorder="1" applyAlignment="1">
      <alignment horizontal="center" vertical="center"/>
    </xf>
    <xf numFmtId="0" fontId="17" fillId="16" borderId="5" xfId="0" applyFont="1" applyFill="1" applyBorder="1" applyAlignment="1">
      <alignment horizontal="left" vertical="center"/>
    </xf>
    <xf numFmtId="0" fontId="37" fillId="16" borderId="5" xfId="0" applyFont="1" applyFill="1" applyBorder="1" applyAlignment="1">
      <alignment horizontal="center" vertical="center"/>
    </xf>
    <xf numFmtId="165" fontId="17" fillId="16" borderId="5" xfId="0" applyNumberFormat="1" applyFont="1" applyFill="1" applyBorder="1" applyAlignment="1">
      <alignment horizontal="center" vertical="center"/>
    </xf>
    <xf numFmtId="171" fontId="17" fillId="16" borderId="5" xfId="0" applyNumberFormat="1" applyFont="1" applyFill="1" applyBorder="1" applyAlignment="1">
      <alignment horizontal="center" vertical="center"/>
    </xf>
    <xf numFmtId="0" fontId="17" fillId="16" borderId="5" xfId="0" applyFont="1" applyFill="1" applyBorder="1" applyAlignment="1">
      <alignment horizontal="center" vertical="center"/>
    </xf>
    <xf numFmtId="0" fontId="15" fillId="11" borderId="5" xfId="0" applyFont="1" applyFill="1" applyBorder="1" applyAlignment="1">
      <alignment horizontal="left" vertical="center"/>
    </xf>
    <xf numFmtId="166" fontId="15" fillId="11" borderId="5" xfId="0" applyNumberFormat="1" applyFont="1" applyFill="1" applyBorder="1" applyAlignment="1">
      <alignment horizontal="center" vertical="center"/>
    </xf>
    <xf numFmtId="166" fontId="17" fillId="16" borderId="5" xfId="0" applyNumberFormat="1" applyFont="1" applyFill="1" applyBorder="1" applyAlignment="1">
      <alignment horizontal="center" vertical="center"/>
    </xf>
    <xf numFmtId="0" fontId="39" fillId="11" borderId="5" xfId="0" applyFont="1" applyFill="1" applyBorder="1" applyAlignment="1">
      <alignment horizontal="left" vertical="center"/>
    </xf>
    <xf numFmtId="164" fontId="39" fillId="11" borderId="5" xfId="0" applyNumberFormat="1" applyFont="1" applyFill="1" applyBorder="1" applyAlignment="1">
      <alignment horizontal="center" vertical="center"/>
    </xf>
    <xf numFmtId="173" fontId="40" fillId="11" borderId="5" xfId="0" applyNumberFormat="1" applyFont="1" applyFill="1" applyBorder="1" applyAlignment="1">
      <alignment horizontal="center" vertical="center"/>
    </xf>
    <xf numFmtId="0" fontId="15" fillId="22" borderId="5" xfId="0" applyFont="1" applyFill="1" applyBorder="1" applyAlignment="1">
      <alignment horizontal="left" vertical="center"/>
    </xf>
    <xf numFmtId="174" fontId="41" fillId="22" borderId="5" xfId="0" applyNumberFormat="1" applyFont="1" applyFill="1" applyBorder="1" applyAlignment="1">
      <alignment horizontal="center" vertical="center"/>
    </xf>
    <xf numFmtId="166" fontId="42" fillId="22" borderId="5" xfId="0" applyNumberFormat="1" applyFont="1" applyFill="1" applyBorder="1" applyAlignment="1">
      <alignment horizontal="center" vertical="center"/>
    </xf>
    <xf numFmtId="0" fontId="17" fillId="22" borderId="5" xfId="0" applyFont="1" applyFill="1" applyBorder="1" applyAlignment="1">
      <alignment horizontal="center" vertical="center"/>
    </xf>
    <xf numFmtId="175" fontId="17" fillId="11" borderId="5" xfId="0" applyNumberFormat="1" applyFont="1" applyFill="1" applyBorder="1" applyAlignment="1">
      <alignment horizontal="center" vertical="center"/>
    </xf>
    <xf numFmtId="166" fontId="15" fillId="22" borderId="5" xfId="0" applyNumberFormat="1" applyFont="1" applyFill="1" applyBorder="1" applyAlignment="1">
      <alignment horizontal="center" vertical="center"/>
    </xf>
    <xf numFmtId="0" fontId="45" fillId="3" borderId="0" xfId="0" applyFont="1" applyFill="1" applyAlignment="1">
      <alignment horizontal="left" vertical="center"/>
    </xf>
    <xf numFmtId="0" fontId="15" fillId="23" borderId="6" xfId="0" applyFont="1" applyFill="1" applyBorder="1" applyAlignment="1">
      <alignment horizontal="center"/>
    </xf>
    <xf numFmtId="176" fontId="19" fillId="24" borderId="0" xfId="0" applyNumberFormat="1" applyFont="1" applyFill="1"/>
    <xf numFmtId="0" fontId="35" fillId="0" borderId="0" xfId="0" applyFont="1"/>
    <xf numFmtId="176" fontId="17" fillId="0" borderId="0" xfId="0" applyNumberFormat="1" applyFont="1"/>
    <xf numFmtId="176" fontId="25" fillId="25" borderId="0" xfId="0" applyNumberFormat="1" applyFont="1" applyFill="1"/>
    <xf numFmtId="177" fontId="19" fillId="24" borderId="0" xfId="0" applyNumberFormat="1" applyFont="1" applyFill="1"/>
    <xf numFmtId="176" fontId="19" fillId="0" borderId="0" xfId="0" applyNumberFormat="1" applyFont="1"/>
    <xf numFmtId="10" fontId="25" fillId="25" borderId="0" xfId="0" applyNumberFormat="1" applyFont="1" applyFill="1"/>
    <xf numFmtId="164" fontId="19" fillId="24" borderId="0" xfId="0" applyNumberFormat="1" applyFont="1" applyFill="1"/>
    <xf numFmtId="165" fontId="19" fillId="24" borderId="0" xfId="0" applyNumberFormat="1" applyFont="1" applyFill="1"/>
    <xf numFmtId="165" fontId="19" fillId="0" borderId="0" xfId="0" applyNumberFormat="1" applyFont="1"/>
    <xf numFmtId="165" fontId="17" fillId="0" borderId="0" xfId="0" applyNumberFormat="1" applyFont="1"/>
    <xf numFmtId="164" fontId="17" fillId="0" borderId="0" xfId="0" applyNumberFormat="1" applyFont="1"/>
    <xf numFmtId="0" fontId="25" fillId="25" borderId="0" xfId="0" applyFont="1" applyFill="1" applyAlignment="1">
      <alignment horizontal="center"/>
    </xf>
    <xf numFmtId="0" fontId="47" fillId="0" borderId="0" xfId="0" applyFont="1"/>
    <xf numFmtId="176" fontId="48" fillId="25" borderId="6" xfId="0" applyNumberFormat="1" applyFont="1" applyFill="1" applyBorder="1" applyAlignment="1">
      <alignment horizontal="center"/>
    </xf>
    <xf numFmtId="0" fontId="49" fillId="0" borderId="0" xfId="0" applyFont="1"/>
    <xf numFmtId="0" fontId="53" fillId="26" borderId="11" xfId="0" applyFont="1" applyFill="1" applyBorder="1" applyAlignment="1">
      <alignment horizontal="left" vertical="center" wrapText="1"/>
    </xf>
    <xf numFmtId="0" fontId="53" fillId="26" borderId="11" xfId="0" applyFont="1" applyFill="1" applyBorder="1" applyAlignment="1">
      <alignment horizontal="center" vertical="center"/>
    </xf>
    <xf numFmtId="166" fontId="53" fillId="26" borderId="11" xfId="0" applyNumberFormat="1" applyFont="1" applyFill="1" applyBorder="1" applyAlignment="1">
      <alignment horizontal="center" vertical="center"/>
    </xf>
    <xf numFmtId="0" fontId="54" fillId="27" borderId="10" xfId="0" applyFont="1" applyFill="1" applyBorder="1" applyAlignment="1">
      <alignment horizontal="left" vertical="center" wrapText="1"/>
    </xf>
    <xf numFmtId="0" fontId="55" fillId="27" borderId="10" xfId="0" applyFont="1" applyFill="1" applyBorder="1" applyAlignment="1">
      <alignment horizontal="center" vertical="center"/>
    </xf>
    <xf numFmtId="175" fontId="55" fillId="27" borderId="10" xfId="0" applyNumberFormat="1" applyFont="1" applyFill="1" applyBorder="1" applyAlignment="1">
      <alignment horizontal="center" vertical="center"/>
    </xf>
    <xf numFmtId="0" fontId="54" fillId="26" borderId="11" xfId="0" applyFont="1" applyFill="1" applyBorder="1" applyAlignment="1">
      <alignment horizontal="left" vertical="center" wrapText="1"/>
    </xf>
    <xf numFmtId="0" fontId="55" fillId="26" borderId="11" xfId="0" applyFont="1" applyFill="1" applyBorder="1" applyAlignment="1">
      <alignment horizontal="center" vertical="center"/>
    </xf>
    <xf numFmtId="166" fontId="55" fillId="26" borderId="11" xfId="0" applyNumberFormat="1" applyFont="1" applyFill="1" applyBorder="1" applyAlignment="1">
      <alignment horizontal="center" vertical="center"/>
    </xf>
    <xf numFmtId="0" fontId="54" fillId="26" borderId="10" xfId="0" applyFont="1" applyFill="1" applyBorder="1" applyAlignment="1">
      <alignment horizontal="left" vertical="center" wrapText="1"/>
    </xf>
    <xf numFmtId="0" fontId="55" fillId="26" borderId="10" xfId="0" applyFont="1" applyFill="1" applyBorder="1" applyAlignment="1">
      <alignment horizontal="center" vertical="center"/>
    </xf>
    <xf numFmtId="166" fontId="55" fillId="26" borderId="10" xfId="0" applyNumberFormat="1" applyFont="1" applyFill="1" applyBorder="1" applyAlignment="1">
      <alignment horizontal="center" vertical="center"/>
    </xf>
    <xf numFmtId="4" fontId="55" fillId="26" borderId="10" xfId="0" applyNumberFormat="1" applyFont="1" applyFill="1" applyBorder="1" applyAlignment="1">
      <alignment horizontal="center" vertical="center"/>
    </xf>
    <xf numFmtId="178" fontId="55" fillId="26" borderId="10" xfId="0" applyNumberFormat="1" applyFont="1" applyFill="1" applyBorder="1" applyAlignment="1">
      <alignment horizontal="center" vertical="center"/>
    </xf>
    <xf numFmtId="179" fontId="54" fillId="27" borderId="10" xfId="0" applyNumberFormat="1" applyFont="1" applyFill="1" applyBorder="1" applyAlignment="1">
      <alignment horizontal="center" vertical="center"/>
    </xf>
    <xf numFmtId="166" fontId="54" fillId="26" borderId="10" xfId="0" applyNumberFormat="1" applyFont="1" applyFill="1" applyBorder="1" applyAlignment="1">
      <alignment horizontal="center" vertical="center"/>
    </xf>
    <xf numFmtId="0" fontId="14" fillId="28" borderId="5" xfId="0" applyFont="1" applyFill="1" applyBorder="1" applyAlignment="1">
      <alignment horizontal="center" vertical="center"/>
    </xf>
    <xf numFmtId="0" fontId="15" fillId="30" borderId="5" xfId="0" applyFont="1" applyFill="1" applyBorder="1" applyAlignment="1">
      <alignment horizontal="left" vertical="center"/>
    </xf>
    <xf numFmtId="166" fontId="15" fillId="30" borderId="5" xfId="0" applyNumberFormat="1" applyFont="1" applyFill="1" applyBorder="1" applyAlignment="1">
      <alignment horizontal="center" vertical="center"/>
    </xf>
    <xf numFmtId="0" fontId="17" fillId="30" borderId="5" xfId="0" applyFont="1" applyFill="1" applyBorder="1" applyAlignment="1">
      <alignment horizontal="center" vertical="center"/>
    </xf>
    <xf numFmtId="0" fontId="43" fillId="28" borderId="5" xfId="0" applyFont="1" applyFill="1" applyBorder="1" applyAlignment="1">
      <alignment horizontal="center" vertical="center"/>
    </xf>
    <xf numFmtId="166" fontId="20" fillId="28" borderId="5" xfId="0" applyNumberFormat="1" applyFont="1" applyFill="1" applyBorder="1" applyAlignment="1">
      <alignment horizontal="center" vertical="center"/>
    </xf>
    <xf numFmtId="0" fontId="52" fillId="31" borderId="10" xfId="0" applyFont="1" applyFill="1" applyBorder="1" applyAlignment="1">
      <alignment horizontal="left" vertical="center" wrapText="1"/>
    </xf>
    <xf numFmtId="0" fontId="53" fillId="31" borderId="10" xfId="0" applyFont="1" applyFill="1" applyBorder="1" applyAlignment="1">
      <alignment horizontal="center" vertical="center"/>
    </xf>
    <xf numFmtId="166" fontId="54" fillId="31" borderId="10" xfId="0" applyNumberFormat="1" applyFont="1" applyFill="1" applyBorder="1" applyAlignment="1">
      <alignment horizontal="center" vertical="center"/>
    </xf>
    <xf numFmtId="0" fontId="53" fillId="29" borderId="10" xfId="0" applyFont="1" applyFill="1" applyBorder="1" applyAlignment="1">
      <alignment horizontal="left" vertical="center" wrapText="1"/>
    </xf>
    <xf numFmtId="0" fontId="53" fillId="29" borderId="10" xfId="0" applyFont="1" applyFill="1" applyBorder="1" applyAlignment="1">
      <alignment horizontal="center" vertical="center"/>
    </xf>
    <xf numFmtId="166" fontId="52" fillId="29" borderId="10" xfId="0" applyNumberFormat="1" applyFont="1" applyFill="1" applyBorder="1" applyAlignment="1">
      <alignment horizontal="center" vertical="center"/>
    </xf>
    <xf numFmtId="0" fontId="53" fillId="31" borderId="10" xfId="0" applyFont="1" applyFill="1" applyBorder="1" applyAlignment="1">
      <alignment horizontal="left" vertical="center" wrapText="1"/>
    </xf>
    <xf numFmtId="166" fontId="52" fillId="31" borderId="10" xfId="0" applyNumberFormat="1" applyFont="1" applyFill="1" applyBorder="1" applyAlignment="1">
      <alignment horizontal="center" vertical="center"/>
    </xf>
    <xf numFmtId="0" fontId="56" fillId="32" borderId="10" xfId="0" applyFont="1" applyFill="1" applyBorder="1" applyAlignment="1">
      <alignment horizontal="left" vertical="center" wrapText="1"/>
    </xf>
    <xf numFmtId="0" fontId="53" fillId="32" borderId="10" xfId="0" applyFont="1" applyFill="1" applyBorder="1" applyAlignment="1">
      <alignment horizontal="center" vertical="center"/>
    </xf>
    <xf numFmtId="178" fontId="56" fillId="32" borderId="10" xfId="0" applyNumberFormat="1" applyFont="1" applyFill="1" applyBorder="1" applyAlignment="1">
      <alignment horizontal="center" vertical="center"/>
    </xf>
    <xf numFmtId="180" fontId="52" fillId="31" borderId="10" xfId="0" applyNumberFormat="1" applyFont="1" applyFill="1" applyBorder="1" applyAlignment="1">
      <alignment horizontal="center" vertical="center"/>
    </xf>
    <xf numFmtId="0" fontId="60" fillId="33" borderId="16" xfId="0" applyFont="1" applyFill="1" applyBorder="1" applyAlignment="1">
      <alignment horizontal="center" vertical="center"/>
    </xf>
    <xf numFmtId="166" fontId="60" fillId="33" borderId="16" xfId="0" applyNumberFormat="1" applyFont="1" applyFill="1" applyBorder="1" applyAlignment="1">
      <alignment horizontal="center" vertical="center"/>
    </xf>
    <xf numFmtId="0" fontId="61" fillId="34" borderId="15" xfId="0" applyFont="1" applyFill="1" applyBorder="1" applyAlignment="1">
      <alignment horizontal="center" vertical="center"/>
    </xf>
    <xf numFmtId="0" fontId="61" fillId="33" borderId="15" xfId="0" applyFont="1" applyFill="1" applyBorder="1" applyAlignment="1">
      <alignment horizontal="left" vertical="center"/>
    </xf>
    <xf numFmtId="0" fontId="61" fillId="33" borderId="15" xfId="0" applyFont="1" applyFill="1" applyBorder="1" applyAlignment="1">
      <alignment horizontal="center" vertical="center"/>
    </xf>
    <xf numFmtId="166" fontId="61" fillId="33" borderId="15" xfId="0" applyNumberFormat="1" applyFont="1" applyFill="1" applyBorder="1" applyAlignment="1">
      <alignment horizontal="center" vertical="center"/>
    </xf>
    <xf numFmtId="10" fontId="61" fillId="34" borderId="15" xfId="0" applyNumberFormat="1" applyFont="1" applyFill="1" applyBorder="1" applyAlignment="1">
      <alignment horizontal="center" vertical="center"/>
    </xf>
    <xf numFmtId="175" fontId="61" fillId="34" borderId="15" xfId="0" applyNumberFormat="1" applyFont="1" applyFill="1" applyBorder="1" applyAlignment="1">
      <alignment horizontal="center" vertical="center"/>
    </xf>
    <xf numFmtId="0" fontId="61" fillId="33" borderId="16" xfId="0" applyFont="1" applyFill="1" applyBorder="1" applyAlignment="1">
      <alignment horizontal="center" vertical="center"/>
    </xf>
    <xf numFmtId="166" fontId="61" fillId="33" borderId="16" xfId="0" applyNumberFormat="1" applyFont="1" applyFill="1" applyBorder="1" applyAlignment="1">
      <alignment horizontal="center" vertical="center"/>
    </xf>
    <xf numFmtId="4" fontId="61" fillId="33" borderId="15" xfId="0" applyNumberFormat="1" applyFont="1" applyFill="1" applyBorder="1" applyAlignment="1">
      <alignment horizontal="center" vertical="center"/>
    </xf>
    <xf numFmtId="178" fontId="61" fillId="33" borderId="15" xfId="0" applyNumberFormat="1" applyFont="1" applyFill="1" applyBorder="1" applyAlignment="1">
      <alignment horizontal="center" vertical="center"/>
    </xf>
    <xf numFmtId="0" fontId="54" fillId="34" borderId="15" xfId="0" applyFont="1" applyFill="1" applyBorder="1" applyAlignment="1">
      <alignment horizontal="left" vertical="center"/>
    </xf>
    <xf numFmtId="0" fontId="52" fillId="33" borderId="15" xfId="0" applyFont="1" applyFill="1" applyBorder="1" applyAlignment="1">
      <alignment horizontal="left" vertical="center"/>
    </xf>
    <xf numFmtId="0" fontId="54" fillId="33" borderId="15" xfId="0" applyFont="1" applyFill="1" applyBorder="1" applyAlignment="1">
      <alignment horizontal="left" vertical="center"/>
    </xf>
    <xf numFmtId="0" fontId="52" fillId="31" borderId="15" xfId="0" applyFont="1" applyFill="1" applyBorder="1" applyAlignment="1">
      <alignment horizontal="left" vertical="center"/>
    </xf>
    <xf numFmtId="0" fontId="60" fillId="31" borderId="15" xfId="0" applyFont="1" applyFill="1" applyBorder="1" applyAlignment="1">
      <alignment horizontal="center" vertical="center"/>
    </xf>
    <xf numFmtId="166" fontId="60" fillId="31" borderId="15" xfId="0" applyNumberFormat="1" applyFont="1" applyFill="1" applyBorder="1" applyAlignment="1">
      <alignment horizontal="center" vertical="center"/>
    </xf>
    <xf numFmtId="0" fontId="60" fillId="29" borderId="15" xfId="0" applyFont="1" applyFill="1" applyBorder="1" applyAlignment="1">
      <alignment horizontal="left" vertical="center"/>
    </xf>
    <xf numFmtId="0" fontId="60" fillId="29" borderId="15" xfId="0" applyFont="1" applyFill="1" applyBorder="1" applyAlignment="1">
      <alignment horizontal="center" vertical="center"/>
    </xf>
    <xf numFmtId="166" fontId="63" fillId="29" borderId="15" xfId="0" applyNumberFormat="1" applyFont="1" applyFill="1" applyBorder="1" applyAlignment="1">
      <alignment horizontal="center" vertical="center"/>
    </xf>
    <xf numFmtId="0" fontId="52" fillId="29" borderId="15" xfId="0" applyFont="1" applyFill="1" applyBorder="1" applyAlignment="1">
      <alignment horizontal="left" vertical="center"/>
    </xf>
    <xf numFmtId="0" fontId="56" fillId="29" borderId="15" xfId="0" applyFont="1" applyFill="1" applyBorder="1" applyAlignment="1">
      <alignment horizontal="left" vertical="center"/>
    </xf>
    <xf numFmtId="178" fontId="63" fillId="29" borderId="15" xfId="0" applyNumberFormat="1" applyFont="1" applyFill="1" applyBorder="1" applyAlignment="1">
      <alignment horizontal="center" vertical="center"/>
    </xf>
    <xf numFmtId="180" fontId="63" fillId="29" borderId="15" xfId="0" applyNumberFormat="1" applyFont="1" applyFill="1" applyBorder="1" applyAlignment="1">
      <alignment horizontal="center" vertical="center"/>
    </xf>
    <xf numFmtId="10" fontId="17" fillId="16" borderId="5" xfId="0" applyNumberFormat="1" applyFont="1" applyFill="1" applyBorder="1" applyAlignment="1">
      <alignment horizontal="center" vertical="center"/>
    </xf>
    <xf numFmtId="0" fontId="66" fillId="0" borderId="18" xfId="0" applyFont="1" applyBorder="1"/>
    <xf numFmtId="0" fontId="69" fillId="36" borderId="17" xfId="0" applyFont="1" applyFill="1" applyBorder="1" applyAlignment="1">
      <alignment horizontal="left" vertical="center" wrapText="1"/>
    </xf>
    <xf numFmtId="166" fontId="0" fillId="0" borderId="17" xfId="0" applyNumberFormat="1" applyBorder="1"/>
    <xf numFmtId="0" fontId="70" fillId="36" borderId="17" xfId="0" applyFont="1" applyFill="1" applyBorder="1" applyAlignment="1">
      <alignment horizontal="left" vertical="center" wrapText="1"/>
    </xf>
    <xf numFmtId="181" fontId="0" fillId="0" borderId="17" xfId="0" applyNumberFormat="1" applyBorder="1"/>
    <xf numFmtId="182" fontId="0" fillId="0" borderId="17" xfId="0" applyNumberFormat="1" applyBorder="1"/>
    <xf numFmtId="4" fontId="0" fillId="0" borderId="17" xfId="0" applyNumberFormat="1" applyBorder="1"/>
    <xf numFmtId="178" fontId="0" fillId="0" borderId="17" xfId="0" applyNumberFormat="1" applyBorder="1"/>
    <xf numFmtId="0" fontId="69" fillId="36" borderId="17" xfId="0" applyFont="1" applyFill="1" applyBorder="1"/>
    <xf numFmtId="0" fontId="0" fillId="36" borderId="17" xfId="0" applyFill="1" applyBorder="1"/>
    <xf numFmtId="0" fontId="0" fillId="36" borderId="17" xfId="0" applyFill="1" applyBorder="1" applyAlignment="1">
      <alignment horizontal="center"/>
    </xf>
    <xf numFmtId="0" fontId="0" fillId="0" borderId="17" xfId="0" applyBorder="1" applyAlignment="1">
      <alignment horizontal="center"/>
    </xf>
    <xf numFmtId="178" fontId="0" fillId="0" borderId="17" xfId="0" applyNumberFormat="1" applyBorder="1" applyAlignment="1">
      <alignment horizontal="center"/>
    </xf>
    <xf numFmtId="8" fontId="0" fillId="0" borderId="17" xfId="0" applyNumberFormat="1" applyBorder="1" applyAlignment="1">
      <alignment horizontal="center"/>
    </xf>
    <xf numFmtId="0" fontId="0" fillId="37" borderId="17" xfId="0" applyFill="1" applyBorder="1"/>
    <xf numFmtId="0" fontId="0" fillId="0" borderId="17" xfId="0" applyBorder="1"/>
    <xf numFmtId="2" fontId="0" fillId="0" borderId="17" xfId="0" applyNumberFormat="1" applyBorder="1"/>
    <xf numFmtId="183" fontId="66" fillId="34" borderId="19" xfId="0" applyNumberFormat="1" applyFont="1" applyFill="1" applyBorder="1" applyAlignment="1">
      <alignment horizontal="center" vertical="center"/>
    </xf>
    <xf numFmtId="183" fontId="66" fillId="38" borderId="19" xfId="0" applyNumberFormat="1" applyFont="1" applyFill="1" applyBorder="1" applyAlignment="1">
      <alignment horizontal="center" vertical="center"/>
    </xf>
    <xf numFmtId="183" fontId="50" fillId="39" borderId="19" xfId="0" applyNumberFormat="1" applyFont="1" applyFill="1" applyBorder="1" applyAlignment="1">
      <alignment horizontal="center" vertical="center"/>
    </xf>
    <xf numFmtId="0" fontId="50" fillId="40" borderId="19" xfId="0" applyFont="1" applyFill="1" applyBorder="1" applyAlignment="1">
      <alignment horizontal="center" vertical="center"/>
    </xf>
    <xf numFmtId="0" fontId="50" fillId="39" borderId="19" xfId="0" applyFont="1" applyFill="1" applyBorder="1" applyAlignment="1">
      <alignment horizontal="center" vertical="center"/>
    </xf>
    <xf numFmtId="0" fontId="71" fillId="41" borderId="19" xfId="0" applyFont="1" applyFill="1" applyBorder="1" applyAlignment="1">
      <alignment horizontal="center" vertical="center"/>
    </xf>
    <xf numFmtId="166" fontId="39" fillId="11" borderId="5" xfId="0" applyNumberFormat="1" applyFont="1" applyFill="1" applyBorder="1" applyAlignment="1">
      <alignment horizontal="center" vertical="center"/>
    </xf>
    <xf numFmtId="2" fontId="0" fillId="0" borderId="17" xfId="0" applyNumberFormat="1" applyBorder="1" applyAlignment="1">
      <alignment horizontal="center"/>
    </xf>
    <xf numFmtId="0" fontId="0" fillId="0" borderId="0" xfId="0"/>
    <xf numFmtId="0" fontId="44" fillId="2" borderId="0" xfId="0" applyFont="1" applyFill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46" fillId="0" borderId="0" xfId="0" applyFont="1" applyAlignment="1">
      <alignment vertical="top" wrapText="1"/>
    </xf>
    <xf numFmtId="0" fontId="45" fillId="3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7" xfId="0" applyBorder="1"/>
    <xf numFmtId="0" fontId="0" fillId="0" borderId="8" xfId="0" applyBorder="1"/>
    <xf numFmtId="0" fontId="9" fillId="3" borderId="3" xfId="0" applyFont="1" applyFill="1" applyBorder="1" applyAlignment="1">
      <alignment horizontal="center" vertical="center"/>
    </xf>
    <xf numFmtId="0" fontId="0" fillId="0" borderId="3" xfId="0" applyBorder="1"/>
    <xf numFmtId="0" fontId="5" fillId="17" borderId="1" xfId="0" applyFont="1" applyFill="1" applyBorder="1" applyAlignment="1">
      <alignment horizontal="left" vertical="center" wrapText="1"/>
    </xf>
    <xf numFmtId="0" fontId="22" fillId="15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18" borderId="1" xfId="0" applyFont="1" applyFill="1" applyBorder="1" applyAlignment="1">
      <alignment horizontal="left" vertical="center" wrapText="1"/>
    </xf>
    <xf numFmtId="0" fontId="14" fillId="17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0" fillId="3" borderId="0" xfId="0" applyFont="1" applyFill="1" applyAlignment="1">
      <alignment horizontal="left" vertical="center"/>
    </xf>
    <xf numFmtId="0" fontId="8" fillId="9" borderId="2" xfId="0" applyFont="1" applyFill="1" applyBorder="1" applyAlignment="1">
      <alignment horizontal="left" vertical="center"/>
    </xf>
    <xf numFmtId="0" fontId="0" fillId="0" borderId="2" xfId="0" applyBorder="1"/>
    <xf numFmtId="0" fontId="14" fillId="3" borderId="0" xfId="0" applyFont="1" applyFill="1" applyAlignment="1">
      <alignment horizontal="left" vertical="center"/>
    </xf>
    <xf numFmtId="0" fontId="9" fillId="10" borderId="3" xfId="0" applyFont="1" applyFill="1" applyBorder="1" applyAlignment="1">
      <alignment horizontal="center" vertical="center"/>
    </xf>
    <xf numFmtId="0" fontId="21" fillId="19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36" fillId="28" borderId="4" xfId="0" applyFont="1" applyFill="1" applyBorder="1" applyAlignment="1">
      <alignment horizontal="left" vertical="center"/>
    </xf>
    <xf numFmtId="0" fontId="0" fillId="0" borderId="9" xfId="0" applyBorder="1"/>
    <xf numFmtId="0" fontId="59" fillId="29" borderId="15" xfId="0" applyFont="1" applyFill="1" applyBorder="1" applyAlignment="1">
      <alignment horizontal="left" vertical="center"/>
    </xf>
    <xf numFmtId="0" fontId="0" fillId="0" borderId="12" xfId="0" applyBorder="1"/>
    <xf numFmtId="0" fontId="0" fillId="0" borderId="13" xfId="0" applyBorder="1"/>
    <xf numFmtId="0" fontId="64" fillId="33" borderId="15" xfId="0" applyFont="1" applyFill="1" applyBorder="1" applyAlignment="1">
      <alignment horizontal="left" vertical="center" wrapText="1"/>
    </xf>
    <xf numFmtId="0" fontId="38" fillId="16" borderId="4" xfId="0" applyFont="1" applyFill="1" applyBorder="1" applyAlignment="1">
      <alignment horizontal="center" vertical="center"/>
    </xf>
    <xf numFmtId="0" fontId="58" fillId="29" borderId="15" xfId="0" applyFont="1" applyFill="1" applyBorder="1" applyAlignment="1">
      <alignment horizontal="center" vertical="center"/>
    </xf>
    <xf numFmtId="0" fontId="62" fillId="29" borderId="15" xfId="0" applyFont="1" applyFill="1" applyBorder="1" applyAlignment="1">
      <alignment horizontal="center" vertical="center"/>
    </xf>
    <xf numFmtId="0" fontId="50" fillId="29" borderId="15" xfId="0" applyFont="1" applyFill="1" applyBorder="1" applyAlignment="1">
      <alignment horizontal="center" vertical="center"/>
    </xf>
    <xf numFmtId="0" fontId="14" fillId="28" borderId="4" xfId="0" applyFont="1" applyFill="1" applyBorder="1" applyAlignment="1">
      <alignment horizontal="left" vertical="center"/>
    </xf>
    <xf numFmtId="0" fontId="35" fillId="16" borderId="4" xfId="0" applyFont="1" applyFill="1" applyBorder="1" applyAlignment="1">
      <alignment horizontal="left" vertical="center"/>
    </xf>
    <xf numFmtId="0" fontId="15" fillId="22" borderId="4" xfId="0" applyFont="1" applyFill="1" applyBorder="1" applyAlignment="1">
      <alignment horizontal="left" vertical="center"/>
    </xf>
    <xf numFmtId="0" fontId="17" fillId="11" borderId="4" xfId="0" applyFont="1" applyFill="1" applyBorder="1" applyAlignment="1">
      <alignment horizontal="left" vertical="center"/>
    </xf>
    <xf numFmtId="0" fontId="51" fillId="29" borderId="15" xfId="0" applyFont="1" applyFill="1" applyBorder="1" applyAlignment="1">
      <alignment horizontal="left" vertical="center"/>
    </xf>
    <xf numFmtId="0" fontId="57" fillId="26" borderId="15" xfId="0" applyFont="1" applyFill="1" applyBorder="1" applyAlignment="1">
      <alignment horizontal="left" vertical="center" wrapText="1"/>
    </xf>
    <xf numFmtId="0" fontId="65" fillId="35" borderId="15" xfId="0" applyFont="1" applyFill="1" applyBorder="1" applyAlignment="1">
      <alignment horizontal="left" vertical="center"/>
    </xf>
    <xf numFmtId="0" fontId="20" fillId="35" borderId="14" xfId="0" applyFont="1" applyFill="1" applyBorder="1" applyAlignment="1">
      <alignment horizontal="center" vertical="center"/>
    </xf>
    <xf numFmtId="0" fontId="33" fillId="16" borderId="0" xfId="0" applyFont="1" applyFill="1" applyAlignment="1">
      <alignment horizontal="left" vertical="top" wrapText="1"/>
    </xf>
    <xf numFmtId="0" fontId="56" fillId="29" borderId="15" xfId="0" applyFont="1" applyFill="1" applyBorder="1" applyAlignment="1">
      <alignment horizontal="center" vertical="center"/>
    </xf>
    <xf numFmtId="0" fontId="68" fillId="0" borderId="18" xfId="0" applyFont="1" applyBorder="1" applyAlignment="1">
      <alignment horizontal="left" vertical="center"/>
    </xf>
    <xf numFmtId="0" fontId="67" fillId="0" borderId="18" xfId="0" applyFont="1" applyBorder="1" applyAlignment="1">
      <alignment horizontal="left" vertical="center"/>
    </xf>
    <xf numFmtId="173" fontId="39" fillId="11" borderId="5" xfId="0" applyNumberFormat="1" applyFont="1" applyFill="1" applyBorder="1" applyAlignment="1">
      <alignment horizontal="center" vertical="center"/>
    </xf>
    <xf numFmtId="2" fontId="17" fillId="11" borderId="0" xfId="0" applyNumberFormat="1" applyFont="1" applyFill="1"/>
    <xf numFmtId="0" fontId="45" fillId="0" borderId="0" xfId="0" applyFont="1" applyFill="1" applyAlignment="1">
      <alignment horizontal="left" vertical="center"/>
    </xf>
    <xf numFmtId="184" fontId="32" fillId="11" borderId="0" xfId="0" applyNumberFormat="1" applyFont="1" applyFill="1"/>
    <xf numFmtId="165" fontId="0" fillId="0" borderId="0" xfId="0" applyNumberFormat="1"/>
  </cellXfs>
  <cellStyles count="3">
    <cellStyle name="Normal" xfId="0" builtinId="0"/>
    <cellStyle name="Normal 13" xfId="2" xr:uid="{00000000-0005-0000-0000-000002000000}"/>
    <cellStyle name="Pourcentag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2F2F2"/>
      <rgbColor rgb="FFFF00FF"/>
      <rgbColor rgb="FF00FFFF"/>
      <rgbColor rgb="FF800000"/>
      <rgbColor rgb="FF1B5E20"/>
      <rgbColor rgb="FF000080"/>
      <rgbColor rgb="FF808000"/>
      <rgbColor rgb="FF800080"/>
      <rgbColor rgb="FF0F6FC6"/>
      <rgbColor rgb="FFCCCCCC"/>
      <rgbColor rgb="FF808080"/>
      <rgbColor rgb="FFEDEDED"/>
      <rgbColor rgb="FF4A4A8F"/>
      <rgbColor rgb="FFFFF2CC"/>
      <rgbColor rgb="FFE8F4FD"/>
      <rgbColor rgb="FF660066"/>
      <rgbColor rgb="FFF8F9FA"/>
      <rgbColor rgb="FF0070C0"/>
      <rgbColor rgb="FFB8C9E1"/>
      <rgbColor rgb="FF000080"/>
      <rgbColor rgb="FFFF00FF"/>
      <rgbColor rgb="FFF8F8F8"/>
      <rgbColor rgb="FF00FFFF"/>
      <rgbColor rgb="FF800080"/>
      <rgbColor rgb="FF800000"/>
      <rgbColor rgb="FF1F4E79"/>
      <rgbColor rgb="FF0000FF"/>
      <rgbColor rgb="FF00CCFF"/>
      <rgbColor rgb="FFE8F8E8"/>
      <rgbColor rgb="FFC6EFCE"/>
      <rgbColor rgb="FFF5E6CE"/>
      <rgbColor rgb="FFD6E4F7"/>
      <rgbColor rgb="FFFCE4D6"/>
      <rgbColor rgb="FFD9E1F2"/>
      <rgbColor rgb="FFF4B183"/>
      <rgbColor rgb="FF2E75B6"/>
      <rgbColor rgb="FF33CCCC"/>
      <rgbColor rgb="FFF5F8FF"/>
      <rgbColor rgb="FFFFE4E1"/>
      <rgbColor rgb="FFFF9900"/>
      <rgbColor rgb="FFE67E22"/>
      <rgbColor rgb="FF595959"/>
      <rgbColor rgb="FF888888"/>
      <rgbColor rgb="FF1F3864"/>
      <rgbColor rgb="FF00B050"/>
      <rgbColor rgb="FF003300"/>
      <rgbColor rgb="FF333300"/>
      <rgbColor rgb="FFC55A11"/>
      <rgbColor rgb="FF993366"/>
      <rgbColor rgb="FF2E4E8C"/>
      <rgbColor rgb="FF2C2C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Bleu">
      <a:dk1>
        <a:srgbClr val="000000"/>
      </a:dk1>
      <a:lt1>
        <a:srgbClr val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zoomScale="157" zoomScaleNormal="157" workbookViewId="0">
      <pane xSplit="1" ySplit="4" topLeftCell="B5" activePane="bottomRight" state="frozen"/>
      <selection pane="topRight" activeCell="B1" sqref="B1"/>
      <selection pane="bottomLeft" activeCell="A14" sqref="A14"/>
      <selection pane="bottomRight" activeCell="A33" sqref="A33"/>
    </sheetView>
  </sheetViews>
  <sheetFormatPr baseColWidth="10" defaultColWidth="8.83203125" defaultRowHeight="15" customHeight="1" x14ac:dyDescent="0.2"/>
  <cols>
    <col min="1" max="1" width="36.6640625" customWidth="1"/>
    <col min="2" max="8" width="13.6640625" customWidth="1"/>
  </cols>
  <sheetData>
    <row r="1" spans="1:8" ht="3.75" customHeight="1" x14ac:dyDescent="0.2"/>
    <row r="2" spans="1:8" ht="25.5" customHeight="1" x14ac:dyDescent="0.2">
      <c r="A2" s="287" t="s">
        <v>62</v>
      </c>
      <c r="B2" s="288"/>
      <c r="C2" s="288"/>
      <c r="D2" s="288"/>
      <c r="E2" s="288"/>
      <c r="F2" s="288"/>
      <c r="G2" s="288"/>
      <c r="H2" s="289"/>
    </row>
    <row r="3" spans="1:8" ht="3.75" customHeight="1" x14ac:dyDescent="0.2"/>
    <row r="4" spans="1:8" ht="18" customHeight="1" x14ac:dyDescent="0.2">
      <c r="A4" s="1"/>
      <c r="B4" s="2">
        <v>2021</v>
      </c>
      <c r="C4" s="2">
        <v>2022</v>
      </c>
      <c r="D4" s="2">
        <v>2023</v>
      </c>
      <c r="E4" s="2">
        <v>2024</v>
      </c>
      <c r="F4" s="2">
        <v>2025</v>
      </c>
      <c r="G4" s="2">
        <v>2026</v>
      </c>
      <c r="H4" s="2">
        <v>2027</v>
      </c>
    </row>
    <row r="5" spans="1:8" ht="15.75" customHeight="1" x14ac:dyDescent="0.2">
      <c r="A5" s="3" t="s">
        <v>63</v>
      </c>
      <c r="B5" s="4">
        <v>339.84800000000001</v>
      </c>
      <c r="C5" s="4">
        <v>343.4</v>
      </c>
      <c r="D5" s="4">
        <v>381</v>
      </c>
      <c r="E5" s="4">
        <v>387</v>
      </c>
      <c r="F5" s="4">
        <v>390.1</v>
      </c>
      <c r="G5" s="3"/>
      <c r="H5" s="3"/>
    </row>
    <row r="6" spans="1:8" ht="15.75" customHeight="1" x14ac:dyDescent="0.2">
      <c r="A6" s="5" t="s">
        <v>64</v>
      </c>
      <c r="B6" s="6">
        <v>2351.1329999999998</v>
      </c>
      <c r="C6" s="6">
        <v>2532.3000000000002</v>
      </c>
      <c r="D6" s="6">
        <v>3036.7</v>
      </c>
      <c r="E6" s="6">
        <v>2390</v>
      </c>
      <c r="F6" s="6">
        <v>2360.6</v>
      </c>
      <c r="G6" s="5"/>
      <c r="H6" s="5"/>
    </row>
    <row r="7" spans="1:8" ht="15.75" customHeight="1" x14ac:dyDescent="0.2">
      <c r="A7" s="3" t="s">
        <v>65</v>
      </c>
      <c r="B7" s="4">
        <v>155.13999999999999</v>
      </c>
      <c r="C7" s="4">
        <v>158.9</v>
      </c>
      <c r="D7" s="4">
        <v>314.7</v>
      </c>
      <c r="E7" s="4">
        <v>589</v>
      </c>
      <c r="F7" s="4">
        <v>693.4</v>
      </c>
      <c r="G7" s="3"/>
      <c r="H7" s="3"/>
    </row>
    <row r="8" spans="1:8" ht="15.75" customHeight="1" x14ac:dyDescent="0.2">
      <c r="A8" s="5" t="s">
        <v>66</v>
      </c>
      <c r="B8" s="6">
        <v>14.12</v>
      </c>
      <c r="C8" s="6">
        <v>22.2</v>
      </c>
      <c r="D8" s="6">
        <v>19.5</v>
      </c>
      <c r="E8" s="6">
        <v>23</v>
      </c>
      <c r="F8" s="6">
        <v>9.9</v>
      </c>
      <c r="G8" s="5"/>
      <c r="H8" s="5"/>
    </row>
    <row r="9" spans="1:8" ht="15.75" customHeight="1" x14ac:dyDescent="0.2">
      <c r="A9" s="3" t="s">
        <v>67</v>
      </c>
      <c r="B9" s="4">
        <v>2.6080000000000001</v>
      </c>
      <c r="C9" s="4">
        <v>2.6</v>
      </c>
      <c r="D9" s="4">
        <v>2.4</v>
      </c>
      <c r="E9" s="4">
        <v>4</v>
      </c>
      <c r="F9" s="4">
        <v>3.3</v>
      </c>
      <c r="G9" s="3"/>
      <c r="H9" s="3"/>
    </row>
    <row r="10" spans="1:8" ht="15.75" customHeight="1" x14ac:dyDescent="0.2">
      <c r="A10" s="5" t="s">
        <v>68</v>
      </c>
      <c r="B10" s="6">
        <v>20.672000000000001</v>
      </c>
      <c r="C10" s="6">
        <v>18.7</v>
      </c>
      <c r="D10" s="6">
        <v>29.7</v>
      </c>
      <c r="E10" s="6">
        <v>27</v>
      </c>
      <c r="F10" s="6">
        <v>28</v>
      </c>
      <c r="G10" s="5"/>
      <c r="H10" s="5"/>
    </row>
    <row r="11" spans="1:8" ht="15.75" customHeight="1" x14ac:dyDescent="0.2">
      <c r="A11" s="3" t="s">
        <v>69</v>
      </c>
      <c r="B11" s="4">
        <v>219.24799999999999</v>
      </c>
      <c r="C11" s="4">
        <v>316</v>
      </c>
      <c r="D11" s="4">
        <v>370.3</v>
      </c>
      <c r="E11" s="4">
        <v>378</v>
      </c>
      <c r="F11" s="4">
        <v>196</v>
      </c>
      <c r="G11" s="3"/>
      <c r="H11" s="3"/>
    </row>
    <row r="12" spans="1:8" ht="15.75" customHeight="1" x14ac:dyDescent="0.2">
      <c r="A12" s="5" t="s">
        <v>70</v>
      </c>
      <c r="B12" s="7">
        <f>B5+B6+B7+B8+B9+B10+B11</f>
        <v>3102.7689999999998</v>
      </c>
      <c r="C12" s="7">
        <f>C5+C6+C7+C8+C9+C10+C11</f>
        <v>3394.1</v>
      </c>
      <c r="D12" s="7">
        <f>D5+D7+D6+D8+D9+D10+D11</f>
        <v>4154.2999999999993</v>
      </c>
      <c r="E12" s="7">
        <f>E11+E10+E9+E8+E7+E6+E5</f>
        <v>3798</v>
      </c>
      <c r="F12" s="7">
        <f>F11+F10+F9+F8+F7+F6+F5</f>
        <v>3681.2999999999997</v>
      </c>
      <c r="G12" s="5"/>
      <c r="H12" s="5"/>
    </row>
    <row r="13" spans="1:8" ht="15.75" customHeight="1" x14ac:dyDescent="0.2">
      <c r="A13" s="3" t="s">
        <v>71</v>
      </c>
      <c r="B13" s="8">
        <v>0.16900000000000001</v>
      </c>
      <c r="C13" s="8">
        <v>1.3</v>
      </c>
      <c r="D13" s="8">
        <v>0.2</v>
      </c>
      <c r="E13" s="4">
        <v>0</v>
      </c>
      <c r="F13" s="8">
        <v>1.1000000000000001</v>
      </c>
      <c r="G13" s="3"/>
      <c r="H13" s="3"/>
    </row>
    <row r="14" spans="1:8" ht="15.75" customHeight="1" x14ac:dyDescent="0.2">
      <c r="A14" s="5" t="s">
        <v>72</v>
      </c>
      <c r="B14" s="6">
        <v>2869.0709999999999</v>
      </c>
      <c r="C14" s="6">
        <v>3393.7</v>
      </c>
      <c r="D14" s="6">
        <v>2850.1</v>
      </c>
      <c r="E14" s="6">
        <v>2252</v>
      </c>
      <c r="F14" s="6">
        <v>2557.3000000000002</v>
      </c>
      <c r="G14" s="5"/>
      <c r="H14" s="5"/>
    </row>
    <row r="15" spans="1:8" ht="15.75" customHeight="1" x14ac:dyDescent="0.2">
      <c r="A15" s="3" t="s">
        <v>68</v>
      </c>
      <c r="B15" s="4">
        <v>1832.0329999999999</v>
      </c>
      <c r="C15" s="4">
        <v>1830.5</v>
      </c>
      <c r="D15" s="4">
        <v>1357.5</v>
      </c>
      <c r="E15" s="4">
        <v>1239</v>
      </c>
      <c r="F15" s="4">
        <v>1590.2</v>
      </c>
      <c r="G15" s="3"/>
      <c r="H15" s="3"/>
    </row>
    <row r="16" spans="1:8" ht="15.75" customHeight="1" x14ac:dyDescent="0.2">
      <c r="A16" s="5" t="s">
        <v>73</v>
      </c>
      <c r="B16" s="6">
        <v>46.762</v>
      </c>
      <c r="C16" s="6">
        <v>82.9</v>
      </c>
      <c r="D16" s="6">
        <v>87.8</v>
      </c>
      <c r="E16" s="6">
        <v>111</v>
      </c>
      <c r="F16" s="6">
        <v>28.3</v>
      </c>
      <c r="G16" s="5"/>
      <c r="H16" s="5"/>
    </row>
    <row r="17" spans="1:8" ht="15.75" customHeight="1" x14ac:dyDescent="0.2">
      <c r="A17" s="3" t="s">
        <v>66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3"/>
      <c r="H17" s="3"/>
    </row>
    <row r="18" spans="1:8" ht="15.75" customHeight="1" x14ac:dyDescent="0.2">
      <c r="A18" s="5" t="s">
        <v>74</v>
      </c>
      <c r="B18" s="6">
        <v>1194.4369999999999</v>
      </c>
      <c r="C18" s="6">
        <v>1239.9000000000001</v>
      </c>
      <c r="D18" s="6">
        <v>1515.5</v>
      </c>
      <c r="E18" s="6">
        <v>2012</v>
      </c>
      <c r="F18" s="6">
        <v>1558.8</v>
      </c>
      <c r="G18" s="5"/>
      <c r="H18" s="5"/>
    </row>
    <row r="19" spans="1:8" ht="15.75" customHeight="1" x14ac:dyDescent="0.2">
      <c r="A19" s="3" t="s">
        <v>75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3"/>
      <c r="H19" s="3"/>
    </row>
    <row r="20" spans="1:8" ht="15.75" customHeight="1" x14ac:dyDescent="0.2">
      <c r="A20" s="5" t="s">
        <v>76</v>
      </c>
      <c r="B20" s="7">
        <f>B13+B14+B15+B16+B17+B18+B19</f>
        <v>5942.4719999999988</v>
      </c>
      <c r="C20" s="7">
        <f>C13+C14+C15+C16+C17+C18+C19</f>
        <v>6548.2999999999993</v>
      </c>
      <c r="D20" s="7">
        <f>D13+D14+D15+D16+D17+D18</f>
        <v>5811.0999999999995</v>
      </c>
      <c r="E20" s="7">
        <f>E14+E15+E16+E18</f>
        <v>5614</v>
      </c>
      <c r="F20" s="7">
        <f>F14+F15+F16+F18</f>
        <v>5734.6</v>
      </c>
      <c r="G20" s="5"/>
      <c r="H20" s="5"/>
    </row>
    <row r="21" spans="1:8" ht="15.75" customHeight="1" x14ac:dyDescent="0.2">
      <c r="A21" s="3" t="s">
        <v>77</v>
      </c>
      <c r="B21" s="9">
        <f>B20+B12</f>
        <v>9045.2409999999982</v>
      </c>
      <c r="C21" s="9">
        <f>C20+C12</f>
        <v>9942.4</v>
      </c>
      <c r="D21" s="9">
        <f>D12+D20</f>
        <v>9965.3999999999978</v>
      </c>
      <c r="E21" s="9">
        <f>E12+E20</f>
        <v>9412</v>
      </c>
      <c r="F21" s="4">
        <v>9459.7000000000007</v>
      </c>
      <c r="G21" s="3"/>
      <c r="H21" s="3"/>
    </row>
    <row r="22" spans="1:8" ht="15.75" customHeight="1" x14ac:dyDescent="0.2">
      <c r="A22" s="5" t="s">
        <v>78</v>
      </c>
      <c r="B22" s="6">
        <v>387.20600000000002</v>
      </c>
      <c r="C22" s="6">
        <v>286.476</v>
      </c>
      <c r="D22" s="6">
        <v>314.8</v>
      </c>
      <c r="E22" s="6">
        <v>303.5</v>
      </c>
      <c r="F22" s="6">
        <v>272.60000000000002</v>
      </c>
      <c r="G22" s="5"/>
      <c r="H22" s="5"/>
    </row>
    <row r="23" spans="1:8" ht="15.75" customHeight="1" x14ac:dyDescent="0.2">
      <c r="A23" s="3" t="s">
        <v>79</v>
      </c>
      <c r="B23" s="4">
        <v>1724.037</v>
      </c>
      <c r="C23" s="4">
        <v>1626.1790000000001</v>
      </c>
      <c r="D23" s="4">
        <v>2019.4</v>
      </c>
      <c r="E23" s="4">
        <v>2317</v>
      </c>
      <c r="F23" s="4">
        <v>2244.4</v>
      </c>
      <c r="G23" s="3"/>
      <c r="H23" s="3"/>
    </row>
    <row r="24" spans="1:8" ht="15.75" customHeight="1" x14ac:dyDescent="0.2">
      <c r="A24" s="5" t="s">
        <v>68</v>
      </c>
      <c r="B24" s="6">
        <v>47.360999999999997</v>
      </c>
      <c r="C24" s="6">
        <v>48.036999999999999</v>
      </c>
      <c r="D24" s="6">
        <v>95.1</v>
      </c>
      <c r="E24" s="6">
        <v>227</v>
      </c>
      <c r="F24" s="6">
        <v>174.3</v>
      </c>
      <c r="G24" s="5"/>
      <c r="H24" s="5"/>
    </row>
    <row r="25" spans="1:8" ht="15.75" customHeight="1" x14ac:dyDescent="0.2">
      <c r="A25" s="3" t="s">
        <v>80</v>
      </c>
      <c r="B25" s="4">
        <v>24.294</v>
      </c>
      <c r="C25" s="4">
        <v>30.029</v>
      </c>
      <c r="D25" s="4">
        <v>28.7</v>
      </c>
      <c r="E25" s="4">
        <v>25</v>
      </c>
      <c r="F25" s="4">
        <v>14</v>
      </c>
      <c r="G25" s="3"/>
      <c r="H25" s="3"/>
    </row>
    <row r="26" spans="1:8" ht="15.75" customHeight="1" x14ac:dyDescent="0.2">
      <c r="A26" s="5" t="s">
        <v>81</v>
      </c>
      <c r="B26" s="6">
        <v>215.50200000000001</v>
      </c>
      <c r="C26" s="6">
        <v>251.28899999999999</v>
      </c>
      <c r="D26" s="6">
        <v>214.2</v>
      </c>
      <c r="E26" s="6">
        <v>265</v>
      </c>
      <c r="F26" s="6">
        <v>226.5</v>
      </c>
      <c r="G26" s="5"/>
      <c r="H26" s="5"/>
    </row>
    <row r="27" spans="1:8" ht="15.75" customHeight="1" x14ac:dyDescent="0.2">
      <c r="A27" s="3" t="s">
        <v>82</v>
      </c>
      <c r="B27" s="9">
        <f>SUM(B22:B26)</f>
        <v>2398.3999999999996</v>
      </c>
      <c r="C27" s="9">
        <f>SUM(C22:C26)</f>
        <v>2242.0100000000002</v>
      </c>
      <c r="D27" s="9">
        <f>SUM(D22:D26)</f>
        <v>2672.2</v>
      </c>
      <c r="E27" s="9">
        <f>SUM(E22:E26)</f>
        <v>3137.5</v>
      </c>
      <c r="F27" s="9">
        <f>SUM(F22:F26)</f>
        <v>2931.8</v>
      </c>
      <c r="G27" s="3"/>
      <c r="H27" s="3"/>
    </row>
    <row r="28" spans="1:8" ht="15.75" customHeight="1" x14ac:dyDescent="0.2">
      <c r="A28" s="5" t="s">
        <v>83</v>
      </c>
      <c r="B28" s="6">
        <v>430.84699999999998</v>
      </c>
      <c r="C28" s="6">
        <v>717.25900000000001</v>
      </c>
      <c r="D28" s="6">
        <v>728.7</v>
      </c>
      <c r="E28" s="6">
        <v>1120</v>
      </c>
      <c r="F28" s="6">
        <v>597.20000000000005</v>
      </c>
      <c r="G28" s="5"/>
      <c r="H28" s="5"/>
    </row>
    <row r="29" spans="1:8" ht="15.75" customHeight="1" x14ac:dyDescent="0.2">
      <c r="A29" s="3" t="s">
        <v>84</v>
      </c>
      <c r="B29" s="4">
        <v>2807.9659999999999</v>
      </c>
      <c r="C29" s="4">
        <v>3110.0590000000002</v>
      </c>
      <c r="D29" s="4">
        <v>2591.4</v>
      </c>
      <c r="E29" s="4">
        <v>2852</v>
      </c>
      <c r="F29" s="4">
        <v>3312</v>
      </c>
      <c r="G29" s="3"/>
      <c r="H29" s="3"/>
    </row>
    <row r="30" spans="1:8" ht="15.75" customHeight="1" x14ac:dyDescent="0.2">
      <c r="A30" s="5" t="s">
        <v>85</v>
      </c>
      <c r="B30" s="6">
        <v>197.488</v>
      </c>
      <c r="C30" s="6">
        <v>261.95</v>
      </c>
      <c r="D30" s="6">
        <v>222.8</v>
      </c>
      <c r="E30" s="6">
        <v>208</v>
      </c>
      <c r="F30" s="6">
        <v>234.9</v>
      </c>
      <c r="G30" s="5"/>
      <c r="H30" s="5"/>
    </row>
    <row r="31" spans="1:8" ht="15.75" customHeight="1" x14ac:dyDescent="0.2">
      <c r="A31" s="3" t="s">
        <v>86</v>
      </c>
      <c r="B31" s="4">
        <v>43.265999999999998</v>
      </c>
      <c r="C31" s="4">
        <v>45.043999999999997</v>
      </c>
      <c r="D31" s="4">
        <v>53</v>
      </c>
      <c r="E31" s="4">
        <v>172.6</v>
      </c>
      <c r="F31" s="4">
        <v>107.5</v>
      </c>
      <c r="G31" s="3"/>
      <c r="H31" s="3"/>
    </row>
    <row r="32" spans="1:8" ht="15.75" customHeight="1" x14ac:dyDescent="0.2">
      <c r="A32" s="5" t="s">
        <v>87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5"/>
      <c r="H32" s="5"/>
    </row>
    <row r="33" spans="1:8" ht="15.75" customHeight="1" x14ac:dyDescent="0.2">
      <c r="A33" s="3" t="s">
        <v>88</v>
      </c>
      <c r="B33" s="9">
        <f>SUM(B28:B32)</f>
        <v>3479.567</v>
      </c>
      <c r="C33" s="9">
        <f>SUM(C28:C32)</f>
        <v>4134.3119999999999</v>
      </c>
      <c r="D33" s="9">
        <f>SUM(D28:D32)</f>
        <v>3595.9000000000005</v>
      </c>
      <c r="E33" s="9">
        <f>SUM(E28:E32)</f>
        <v>4352.6000000000004</v>
      </c>
      <c r="F33" s="9">
        <f>SUM(F28:F32)</f>
        <v>4251.5999999999995</v>
      </c>
      <c r="G33" s="3"/>
      <c r="H33" s="3"/>
    </row>
    <row r="34" spans="1:8" ht="15.75" customHeight="1" x14ac:dyDescent="0.2">
      <c r="A34" s="5" t="s">
        <v>89</v>
      </c>
      <c r="B34" s="6">
        <v>1384.2729999999999</v>
      </c>
      <c r="C34" s="6">
        <v>1384.2729999999999</v>
      </c>
      <c r="D34" s="6">
        <v>1384.3</v>
      </c>
      <c r="E34" s="6">
        <v>1384.3</v>
      </c>
      <c r="F34" s="6">
        <v>1384.3</v>
      </c>
      <c r="G34" s="5"/>
      <c r="H34" s="5"/>
    </row>
    <row r="35" spans="1:8" ht="15.75" customHeight="1" x14ac:dyDescent="0.2">
      <c r="A35" s="3" t="s">
        <v>90</v>
      </c>
      <c r="B35" s="4">
        <v>2151.2919999999999</v>
      </c>
      <c r="C35" s="4">
        <v>2526.0509999999999</v>
      </c>
      <c r="D35" s="4">
        <v>2715.6</v>
      </c>
      <c r="E35" s="4">
        <v>1072.3</v>
      </c>
      <c r="F35" s="4">
        <v>1413.2</v>
      </c>
      <c r="G35" s="3"/>
      <c r="H35" s="3"/>
    </row>
    <row r="36" spans="1:8" ht="15.75" customHeight="1" x14ac:dyDescent="0.2">
      <c r="A36" s="5" t="s">
        <v>91</v>
      </c>
      <c r="B36" s="10">
        <v>-196.37</v>
      </c>
      <c r="C36" s="10">
        <v>-127.887</v>
      </c>
      <c r="D36" s="10">
        <v>-177.2</v>
      </c>
      <c r="E36" s="10">
        <v>-258.60000000000002</v>
      </c>
      <c r="F36" s="10">
        <v>-299</v>
      </c>
      <c r="G36" s="5"/>
      <c r="H36" s="5"/>
    </row>
    <row r="37" spans="1:8" ht="15.75" customHeight="1" x14ac:dyDescent="0.2">
      <c r="A37" s="3" t="s">
        <v>92</v>
      </c>
      <c r="B37" s="11">
        <v>-226.31299999999999</v>
      </c>
      <c r="C37" s="11">
        <v>-265.95600000000002</v>
      </c>
      <c r="D37" s="11">
        <v>-261.60000000000002</v>
      </c>
      <c r="E37" s="11">
        <v>-260</v>
      </c>
      <c r="F37" s="11">
        <v>-259.3</v>
      </c>
      <c r="G37" s="3"/>
      <c r="H37" s="3"/>
    </row>
    <row r="38" spans="1:8" ht="15.75" customHeight="1" x14ac:dyDescent="0.2">
      <c r="A38" s="5" t="s">
        <v>93</v>
      </c>
      <c r="B38" s="6">
        <v>54.392000000000003</v>
      </c>
      <c r="C38" s="6">
        <v>49.569000000000003</v>
      </c>
      <c r="D38" s="6">
        <v>36.4</v>
      </c>
      <c r="E38" s="10">
        <v>-16</v>
      </c>
      <c r="F38" s="6">
        <v>32.4</v>
      </c>
      <c r="G38" s="5"/>
      <c r="H38" s="5"/>
    </row>
    <row r="39" spans="1:8" ht="15.75" customHeight="1" x14ac:dyDescent="0.2">
      <c r="A39" s="3" t="s">
        <v>94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3"/>
      <c r="H39" s="3"/>
    </row>
    <row r="40" spans="1:8" ht="15.75" customHeight="1" x14ac:dyDescent="0.2">
      <c r="A40" s="5" t="s">
        <v>95</v>
      </c>
      <c r="B40" s="7">
        <f>B34+B35+B36+B37+B38+B39</f>
        <v>3167.2739999999994</v>
      </c>
      <c r="C40" s="7">
        <f>C34+C35+C36+C37+C38+C39</f>
        <v>3566.0499999999993</v>
      </c>
      <c r="D40" s="7">
        <f>D34+D35+D36+D37+D38+D39</f>
        <v>3697.5</v>
      </c>
      <c r="E40" s="6">
        <v>1921</v>
      </c>
      <c r="F40" s="7">
        <f>F34+F35+F36+F37+F38+F39</f>
        <v>2271.6</v>
      </c>
      <c r="G40" s="5"/>
      <c r="H40" s="5"/>
    </row>
    <row r="41" spans="1:8" ht="15.75" customHeight="1" x14ac:dyDescent="0.2">
      <c r="A41" s="3" t="s">
        <v>96</v>
      </c>
      <c r="B41" s="9">
        <f>B27+B33+B40</f>
        <v>9045.2409999999982</v>
      </c>
      <c r="C41" s="9">
        <f>C27+C33+C40</f>
        <v>9942.3719999999994</v>
      </c>
      <c r="D41" s="9">
        <f>D27+D33+D40</f>
        <v>9965.6</v>
      </c>
      <c r="E41" s="9">
        <f>E27+E33+E40</f>
        <v>9411.1</v>
      </c>
      <c r="F41" s="9">
        <f>F27+F33+F40</f>
        <v>9455</v>
      </c>
      <c r="G41" s="3"/>
      <c r="H41" s="3"/>
    </row>
  </sheetData>
  <mergeCells count="1">
    <mergeCell ref="A2:H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06"/>
  <sheetViews>
    <sheetView zoomScale="165" zoomScaleNormal="150" workbookViewId="0">
      <pane xSplit="1" ySplit="3" topLeftCell="B28" activePane="bottomRight" state="frozen"/>
      <selection pane="topRight" activeCell="B1" sqref="B1"/>
      <selection pane="bottomLeft" activeCell="A4" sqref="A4"/>
      <selection pane="bottomRight" activeCell="B74" sqref="B74"/>
    </sheetView>
  </sheetViews>
  <sheetFormatPr baseColWidth="10" defaultColWidth="8.6640625" defaultRowHeight="15" x14ac:dyDescent="0.2"/>
  <cols>
    <col min="1" max="1" width="27.33203125" customWidth="1"/>
    <col min="2" max="2" width="15.33203125" customWidth="1"/>
    <col min="3" max="3" width="13.5" customWidth="1"/>
    <col min="4" max="4" width="12.83203125" customWidth="1"/>
    <col min="5" max="6" width="6.33203125" customWidth="1"/>
    <col min="7" max="7" width="6.6640625" customWidth="1"/>
    <col min="8" max="9" width="6.5" customWidth="1"/>
    <col min="10" max="10" width="6.6640625" customWidth="1"/>
    <col min="11" max="11" width="6.33203125" bestFit="1" customWidth="1"/>
    <col min="12" max="12" width="7" bestFit="1" customWidth="1"/>
  </cols>
  <sheetData>
    <row r="1" spans="1:12" ht="21.75" customHeight="1" x14ac:dyDescent="0.2">
      <c r="A1" s="307" t="s">
        <v>0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</row>
    <row r="2" spans="1:12" ht="15" customHeight="1" x14ac:dyDescent="0.2">
      <c r="A2" s="31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</row>
    <row r="3" spans="1:12" x14ac:dyDescent="0.2">
      <c r="A3" s="213" t="s">
        <v>1</v>
      </c>
      <c r="B3" s="213" t="s">
        <v>2</v>
      </c>
      <c r="C3" s="213" t="s">
        <v>3</v>
      </c>
      <c r="D3" s="213" t="s">
        <v>4</v>
      </c>
      <c r="E3" s="213" t="s">
        <v>5</v>
      </c>
      <c r="F3" s="213" t="s">
        <v>6</v>
      </c>
      <c r="G3" s="213" t="s">
        <v>7</v>
      </c>
      <c r="H3" s="213" t="s">
        <v>8</v>
      </c>
      <c r="I3" s="213" t="s">
        <v>9</v>
      </c>
      <c r="J3" s="213" t="s">
        <v>10</v>
      </c>
      <c r="K3" s="213" t="s">
        <v>11</v>
      </c>
      <c r="L3" s="213" t="s">
        <v>12</v>
      </c>
    </row>
    <row r="4" spans="1:12" x14ac:dyDescent="0.2">
      <c r="A4" s="159" t="s">
        <v>13</v>
      </c>
      <c r="B4" s="160">
        <f>'P&amp;L'!B9</f>
        <v>3963.3100000000009</v>
      </c>
      <c r="C4" s="160">
        <f>'P&amp;L'!C9</f>
        <v>4155.1970000000001</v>
      </c>
      <c r="D4" s="160">
        <f>'P&amp;L'!D9</f>
        <v>3875.7</v>
      </c>
      <c r="E4" s="160">
        <f>'P&amp;L'!E9</f>
        <v>3496</v>
      </c>
      <c r="F4" s="160">
        <f>'P&amp;L'!F9</f>
        <v>3609</v>
      </c>
      <c r="G4" s="160">
        <f>Projections!G75</f>
        <v>3740.1799999999994</v>
      </c>
      <c r="H4" s="160">
        <f>Projections!H75</f>
        <v>3931.3398999999999</v>
      </c>
      <c r="I4" s="160">
        <f>Projections!I75</f>
        <v>4249.8349920000001</v>
      </c>
      <c r="J4" s="160">
        <f>Projections!J75</f>
        <v>4487.4929224400003</v>
      </c>
      <c r="K4" s="160">
        <f>Projections!K75</f>
        <v>4678.4482335619996</v>
      </c>
      <c r="L4" s="161"/>
    </row>
    <row r="5" spans="1:12" x14ac:dyDescent="0.2">
      <c r="A5" s="162" t="s">
        <v>635</v>
      </c>
      <c r="B5" s="163" t="s">
        <v>15</v>
      </c>
      <c r="C5" s="164">
        <f t="shared" ref="C5:K5" si="0">IFERROR(C4/B4-1,"na")</f>
        <v>4.8415844332136304E-2</v>
      </c>
      <c r="D5" s="165">
        <f t="shared" si="0"/>
        <v>-6.7264440169744089E-2</v>
      </c>
      <c r="E5" s="165">
        <f t="shared" si="0"/>
        <v>-9.7969399076295871E-2</v>
      </c>
      <c r="F5" s="164">
        <f t="shared" si="0"/>
        <v>3.2322654462242584E-2</v>
      </c>
      <c r="G5" s="164">
        <f t="shared" si="0"/>
        <v>3.634801884178418E-2</v>
      </c>
      <c r="H5" s="164">
        <f t="shared" si="0"/>
        <v>5.1109812896705575E-2</v>
      </c>
      <c r="I5" s="164">
        <f t="shared" si="0"/>
        <v>8.1014386977834141E-2</v>
      </c>
      <c r="J5" s="164">
        <f t="shared" si="0"/>
        <v>5.5921684227122626E-2</v>
      </c>
      <c r="K5" s="164">
        <f t="shared" si="0"/>
        <v>4.255278268342555E-2</v>
      </c>
      <c r="L5" s="166"/>
    </row>
    <row r="6" spans="1:12" x14ac:dyDescent="0.2">
      <c r="A6" s="313"/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</row>
    <row r="7" spans="1:12" x14ac:dyDescent="0.2">
      <c r="A7" s="167" t="s">
        <v>16</v>
      </c>
      <c r="B7" s="168">
        <f>'P&amp;L'!B48</f>
        <v>971.38200000000006</v>
      </c>
      <c r="C7" s="168">
        <f>'P&amp;L'!C48</f>
        <v>864.67699999999991</v>
      </c>
      <c r="D7" s="168">
        <f>'P&amp;L'!D48</f>
        <v>673.45900000000006</v>
      </c>
      <c r="E7" s="168">
        <f>'P&amp;L'!E48</f>
        <v>478.5</v>
      </c>
      <c r="F7" s="168">
        <f>'P&amp;L'!F48</f>
        <v>579</v>
      </c>
      <c r="G7" s="168">
        <f>Projections!G91+Projections!G102+Projections!G113+Projections!G124+Projections!G129</f>
        <v>605.09649999999999</v>
      </c>
      <c r="H7" s="168">
        <f>Projections!H91+Projections!H102+Projections!H113+Projections!H124+Projections!H129</f>
        <v>655.00502449999999</v>
      </c>
      <c r="I7" s="168">
        <f>Projections!I91+Projections!I102+Projections!I113+Projections!I124+Projections!I129</f>
        <v>735.60402743999998</v>
      </c>
      <c r="J7" s="168">
        <f>Projections!J91+Projections!J102+Projections!J113+Projections!J124+Projections!J129</f>
        <v>817.30399629300018</v>
      </c>
      <c r="K7" s="168">
        <f>Projections!K91+Projections!K102+Projections!K113+Projections!K124+Projections!K129</f>
        <v>887.12877507546</v>
      </c>
      <c r="L7" s="161"/>
    </row>
    <row r="8" spans="1:12" x14ac:dyDescent="0.2">
      <c r="A8" s="162" t="s">
        <v>636</v>
      </c>
      <c r="B8" s="164">
        <f t="shared" ref="B8:K8" si="1">B7/B4</f>
        <v>0.24509362124083148</v>
      </c>
      <c r="C8" s="164">
        <f t="shared" si="1"/>
        <v>0.20809530811655857</v>
      </c>
      <c r="D8" s="164">
        <f t="shared" si="1"/>
        <v>0.17376448125499913</v>
      </c>
      <c r="E8" s="164">
        <f t="shared" si="1"/>
        <v>0.13687070938215104</v>
      </c>
      <c r="F8" s="164">
        <f t="shared" si="1"/>
        <v>0.16043225270157938</v>
      </c>
      <c r="G8" s="164">
        <f t="shared" si="1"/>
        <v>0.16178272168719154</v>
      </c>
      <c r="H8" s="164">
        <f t="shared" si="1"/>
        <v>0.16661114051725723</v>
      </c>
      <c r="I8" s="164">
        <f t="shared" si="1"/>
        <v>0.17309002086545011</v>
      </c>
      <c r="J8" s="164">
        <f t="shared" si="1"/>
        <v>0.18212931149284234</v>
      </c>
      <c r="K8" s="164">
        <f t="shared" si="1"/>
        <v>0.1896203037390525</v>
      </c>
      <c r="L8" s="166"/>
    </row>
    <row r="9" spans="1:12" x14ac:dyDescent="0.2">
      <c r="A9" s="162" t="s">
        <v>637</v>
      </c>
      <c r="B9" s="164">
        <f>'P&amp;L'!B74</f>
        <v>0.24399999999999999</v>
      </c>
      <c r="C9" s="164">
        <f>'P&amp;L'!C74</f>
        <v>0.20399999999999999</v>
      </c>
      <c r="D9" s="164">
        <f>'P&amp;L'!D74</f>
        <v>0.252</v>
      </c>
      <c r="E9" s="164">
        <f>'P&amp;L'!E74</f>
        <v>0.29199999999999998</v>
      </c>
      <c r="F9" s="164">
        <f>'P&amp;L'!F74</f>
        <v>0.26100000000000001</v>
      </c>
      <c r="G9" s="164">
        <v>0.25</v>
      </c>
      <c r="H9" s="164">
        <v>0.25</v>
      </c>
      <c r="I9" s="164">
        <v>0.25</v>
      </c>
      <c r="J9" s="164">
        <v>0.25</v>
      </c>
      <c r="K9" s="164">
        <v>0.25</v>
      </c>
      <c r="L9" s="166"/>
    </row>
    <row r="10" spans="1:12" x14ac:dyDescent="0.2">
      <c r="A10" s="214" t="s">
        <v>634</v>
      </c>
      <c r="B10" s="215">
        <f t="shared" ref="B10:K10" si="2">B7*(1-B9)</f>
        <v>734.36479200000008</v>
      </c>
      <c r="C10" s="215">
        <f t="shared" si="2"/>
        <v>688.28289199999995</v>
      </c>
      <c r="D10" s="215">
        <f t="shared" si="2"/>
        <v>503.74733200000003</v>
      </c>
      <c r="E10" s="215">
        <f t="shared" si="2"/>
        <v>338.77799999999996</v>
      </c>
      <c r="F10" s="215">
        <f t="shared" si="2"/>
        <v>427.88099999999997</v>
      </c>
      <c r="G10" s="215">
        <f t="shared" si="2"/>
        <v>453.82237499999997</v>
      </c>
      <c r="H10" s="215">
        <f t="shared" si="2"/>
        <v>491.25376837499999</v>
      </c>
      <c r="I10" s="215">
        <f t="shared" si="2"/>
        <v>551.70302057999993</v>
      </c>
      <c r="J10" s="215">
        <f t="shared" si="2"/>
        <v>612.97799721975014</v>
      </c>
      <c r="K10" s="215">
        <f t="shared" si="2"/>
        <v>665.346581306595</v>
      </c>
      <c r="L10" s="216"/>
    </row>
    <row r="11" spans="1:12" x14ac:dyDescent="0.2">
      <c r="A11" s="313"/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308"/>
    </row>
    <row r="12" spans="1:12" x14ac:dyDescent="0.2">
      <c r="A12" s="159" t="s">
        <v>20</v>
      </c>
      <c r="B12" s="160">
        <f>-'P&amp;L'!B32</f>
        <v>279.53499999999997</v>
      </c>
      <c r="C12" s="160">
        <f>-'P&amp;L'!C32</f>
        <v>285.93200000000002</v>
      </c>
      <c r="D12" s="160">
        <f>-'P&amp;L'!D32</f>
        <v>298.59999999999997</v>
      </c>
      <c r="E12" s="160">
        <f>-'P&amp;L'!E32</f>
        <v>285.3</v>
      </c>
      <c r="F12" s="160">
        <f>-'P&amp;L'!F32</f>
        <v>267.7</v>
      </c>
      <c r="G12" s="160">
        <f>Projections!G180</f>
        <v>275.07</v>
      </c>
      <c r="H12" s="160">
        <f>Projections!H180</f>
        <v>287.06299999999999</v>
      </c>
      <c r="I12" s="160">
        <f>Projections!I180</f>
        <v>297.55669999999998</v>
      </c>
      <c r="J12" s="160">
        <f>Projections!J180</f>
        <v>309.10102999999998</v>
      </c>
      <c r="K12" s="160">
        <f>Projections!K180</f>
        <v>320.19092699999999</v>
      </c>
      <c r="L12" s="161"/>
    </row>
    <row r="13" spans="1:12" x14ac:dyDescent="0.2">
      <c r="A13" s="159" t="s">
        <v>21</v>
      </c>
      <c r="B13" s="160">
        <f t="shared" ref="B13:K13" si="3">B7+B12</f>
        <v>1250.9169999999999</v>
      </c>
      <c r="C13" s="160">
        <f t="shared" si="3"/>
        <v>1150.6089999999999</v>
      </c>
      <c r="D13" s="160">
        <f t="shared" si="3"/>
        <v>972.05899999999997</v>
      </c>
      <c r="E13" s="160">
        <f t="shared" si="3"/>
        <v>763.8</v>
      </c>
      <c r="F13" s="160">
        <f t="shared" si="3"/>
        <v>846.7</v>
      </c>
      <c r="G13" s="160">
        <f t="shared" si="3"/>
        <v>880.16650000000004</v>
      </c>
      <c r="H13" s="160">
        <f t="shared" si="3"/>
        <v>942.06802449999998</v>
      </c>
      <c r="I13" s="160">
        <f t="shared" si="3"/>
        <v>1033.1607274399998</v>
      </c>
      <c r="J13" s="160">
        <f t="shared" si="3"/>
        <v>1126.4050262930002</v>
      </c>
      <c r="K13" s="160">
        <f t="shared" si="3"/>
        <v>1207.3197020754601</v>
      </c>
      <c r="L13" s="161"/>
    </row>
    <row r="14" spans="1:12" x14ac:dyDescent="0.2">
      <c r="A14" s="162" t="s">
        <v>22</v>
      </c>
      <c r="B14" s="169">
        <f>Projections!B188</f>
        <v>388.59700000000004</v>
      </c>
      <c r="C14" s="169">
        <f>Projections!C188</f>
        <v>469.6</v>
      </c>
      <c r="D14" s="169">
        <f>Projections!D188</f>
        <v>857.00000000000011</v>
      </c>
      <c r="E14" s="169">
        <f>Projections!E188</f>
        <v>554.70000000000005</v>
      </c>
      <c r="F14" s="169">
        <f>Projections!F188</f>
        <v>308.89999999999998</v>
      </c>
      <c r="G14" s="169">
        <f>Projections!G194</f>
        <v>395</v>
      </c>
      <c r="H14" s="169">
        <f>Projections!H194</f>
        <v>392</v>
      </c>
      <c r="I14" s="169">
        <f>Projections!I194</f>
        <v>413</v>
      </c>
      <c r="J14" s="169">
        <f>Projections!J194</f>
        <v>420</v>
      </c>
      <c r="K14" s="169">
        <f>Projections!K194</f>
        <v>420</v>
      </c>
      <c r="L14" s="166"/>
    </row>
    <row r="15" spans="1:12" x14ac:dyDescent="0.2">
      <c r="A15" s="170" t="s">
        <v>23</v>
      </c>
      <c r="B15" s="280">
        <v>-127.584</v>
      </c>
      <c r="C15" s="280">
        <v>221.00299999999999</v>
      </c>
      <c r="D15" s="280">
        <v>-497.94099999999997</v>
      </c>
      <c r="E15" s="280">
        <v>-977.2</v>
      </c>
      <c r="F15" s="171">
        <v>196.5</v>
      </c>
      <c r="G15" s="172">
        <f>Projections!G242</f>
        <v>241.58449325123547</v>
      </c>
      <c r="H15" s="172">
        <f>Projections!H242</f>
        <v>9.7495351948368807</v>
      </c>
      <c r="I15" s="172">
        <f>Projections!I242</f>
        <v>16.24388330835427</v>
      </c>
      <c r="J15" s="172">
        <f>Projections!J242</f>
        <v>12.1210272507833</v>
      </c>
      <c r="K15" s="172">
        <f>Projections!K242</f>
        <v>9.7391007550481845</v>
      </c>
      <c r="L15" s="161"/>
    </row>
    <row r="16" spans="1:12" ht="13" customHeight="1" x14ac:dyDescent="0.2">
      <c r="A16" s="173" t="s">
        <v>24</v>
      </c>
      <c r="B16" s="174">
        <v>752.88679999999999</v>
      </c>
      <c r="C16" s="174">
        <v>283.61189999999999</v>
      </c>
      <c r="D16" s="174">
        <v>443.28829999999999</v>
      </c>
      <c r="E16" s="174">
        <v>1046.578</v>
      </c>
      <c r="F16" s="174">
        <v>190.18100000000001</v>
      </c>
      <c r="G16" s="175">
        <f>G10+G12-G14-G15</f>
        <v>92.30788174876443</v>
      </c>
      <c r="H16" s="175">
        <f>H10+H12-H14-H15</f>
        <v>376.56723318016316</v>
      </c>
      <c r="I16" s="175">
        <f>I10+I12-I14-I15</f>
        <v>420.01583727164564</v>
      </c>
      <c r="J16" s="175">
        <f>J10+J12-J14-J15</f>
        <v>489.95799996896676</v>
      </c>
      <c r="K16" s="175">
        <f>K10+K12-K14-K15</f>
        <v>555.7984075515468</v>
      </c>
      <c r="L16" s="176"/>
    </row>
    <row r="17" spans="1:12" x14ac:dyDescent="0.2">
      <c r="A17" s="313"/>
      <c r="B17" s="308"/>
      <c r="C17" s="308"/>
      <c r="D17" s="308"/>
      <c r="E17" s="308"/>
      <c r="F17" s="308"/>
      <c r="G17" s="308"/>
      <c r="H17" s="308"/>
      <c r="I17" s="308"/>
      <c r="J17" s="308"/>
      <c r="K17" s="308"/>
      <c r="L17" s="308"/>
    </row>
    <row r="18" spans="1:12" x14ac:dyDescent="0.2">
      <c r="A18" s="317"/>
      <c r="B18" s="308"/>
      <c r="C18" s="308"/>
      <c r="D18" s="308"/>
      <c r="E18" s="308"/>
      <c r="F18" s="308"/>
      <c r="G18" s="213" t="s">
        <v>25</v>
      </c>
      <c r="H18" s="213" t="s">
        <v>26</v>
      </c>
      <c r="I18" s="213" t="s">
        <v>27</v>
      </c>
      <c r="J18" s="213" t="s">
        <v>28</v>
      </c>
      <c r="K18" s="213" t="s">
        <v>29</v>
      </c>
      <c r="L18" s="217"/>
    </row>
    <row r="19" spans="1:12" x14ac:dyDescent="0.2">
      <c r="A19" s="320" t="s">
        <v>30</v>
      </c>
      <c r="B19" s="308"/>
      <c r="C19" s="308"/>
      <c r="D19" s="308"/>
      <c r="E19" s="308"/>
      <c r="F19" s="308"/>
      <c r="G19" s="177">
        <f>(1/(1+WACC!D39)^(1))</f>
        <v>0.92614512818447325</v>
      </c>
      <c r="H19" s="177">
        <f>(1/(1+WACC!D39)^(2))</f>
        <v>0.85774479845983453</v>
      </c>
      <c r="I19" s="177">
        <f>(1/(1+WACC!D39)^(3))</f>
        <v>0.79439616631914867</v>
      </c>
      <c r="J19" s="177">
        <f>(1/(1+WACC!D39)^(4))</f>
        <v>0.73572613928490205</v>
      </c>
      <c r="K19" s="177">
        <f>(1/(1+WACC!D39)^(5))</f>
        <v>0.68138917957668332</v>
      </c>
      <c r="L19" s="161"/>
    </row>
    <row r="20" spans="1:12" x14ac:dyDescent="0.2">
      <c r="A20" s="319" t="s">
        <v>31</v>
      </c>
      <c r="B20" s="308"/>
      <c r="C20" s="308"/>
      <c r="D20" s="308"/>
      <c r="E20" s="308"/>
      <c r="F20" s="308"/>
      <c r="G20" s="178">
        <f>G16*G19</f>
        <v>85.490494974646637</v>
      </c>
      <c r="H20" s="178">
        <f>H16*H19</f>
        <v>322.99858553069657</v>
      </c>
      <c r="I20" s="178">
        <f>I16*I19</f>
        <v>333.65897092192267</v>
      </c>
      <c r="J20" s="178">
        <f>J16*J19</f>
        <v>360.47490772892007</v>
      </c>
      <c r="K20" s="178">
        <f>K16*K19</f>
        <v>378.71502093157557</v>
      </c>
      <c r="L20" s="176"/>
    </row>
    <row r="21" spans="1:12" x14ac:dyDescent="0.2">
      <c r="A21" s="317" t="s">
        <v>32</v>
      </c>
      <c r="B21" s="308"/>
      <c r="C21" s="308"/>
      <c r="D21" s="308"/>
      <c r="E21" s="308"/>
      <c r="F21" s="308"/>
      <c r="G21" s="308"/>
      <c r="H21" s="308"/>
      <c r="I21" s="308"/>
      <c r="J21" s="308"/>
      <c r="K21" s="308"/>
      <c r="L21" s="218">
        <f>SUM(G20:K20)</f>
        <v>1481.3379800877615</v>
      </c>
    </row>
    <row r="23" spans="1:12" ht="45" customHeight="1" x14ac:dyDescent="0.2">
      <c r="A23" s="325"/>
      <c r="B23" s="282"/>
      <c r="C23" s="282"/>
      <c r="D23" s="282"/>
      <c r="E23" s="282"/>
      <c r="F23" s="282"/>
      <c r="G23" s="282"/>
      <c r="H23" s="282"/>
      <c r="I23" s="282"/>
      <c r="J23" s="282"/>
      <c r="K23" s="282"/>
      <c r="L23" s="282"/>
    </row>
    <row r="25" spans="1:12" ht="20" customHeight="1" x14ac:dyDescent="0.2">
      <c r="A25" s="316" t="s">
        <v>33</v>
      </c>
      <c r="B25" s="310"/>
      <c r="C25" s="310"/>
      <c r="D25" s="310"/>
      <c r="E25" s="310"/>
      <c r="F25" s="310"/>
      <c r="G25" s="310"/>
      <c r="H25" s="310"/>
      <c r="I25" s="310"/>
      <c r="J25" s="310"/>
      <c r="K25" s="310"/>
      <c r="L25" s="311"/>
    </row>
    <row r="26" spans="1:12" x14ac:dyDescent="0.2">
      <c r="A26" s="321"/>
      <c r="B26" s="310"/>
      <c r="C26" s="310"/>
      <c r="D26" s="310"/>
      <c r="E26" s="310"/>
      <c r="F26" s="310"/>
      <c r="G26" s="310"/>
      <c r="H26" s="310"/>
      <c r="I26" s="310"/>
      <c r="J26" s="310"/>
      <c r="K26" s="310"/>
      <c r="L26" s="311"/>
    </row>
    <row r="27" spans="1:12" ht="26" x14ac:dyDescent="0.2">
      <c r="A27" s="197" t="s">
        <v>34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9">
        <f>K13</f>
        <v>1207.3197020754601</v>
      </c>
      <c r="L27" s="198"/>
    </row>
    <row r="28" spans="1:12" ht="26" x14ac:dyDescent="0.2">
      <c r="A28" s="200" t="s">
        <v>35</v>
      </c>
      <c r="B28" s="201"/>
      <c r="C28" s="201"/>
      <c r="D28" s="201"/>
      <c r="E28" s="201"/>
      <c r="F28" s="201"/>
      <c r="G28" s="201"/>
      <c r="H28" s="201"/>
      <c r="I28" s="201"/>
      <c r="J28" s="201"/>
      <c r="K28" s="211">
        <v>7</v>
      </c>
      <c r="L28" s="201"/>
    </row>
    <row r="29" spans="1:12" x14ac:dyDescent="0.2">
      <c r="A29" s="219" t="s">
        <v>36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1">
        <f>K27*K28</f>
        <v>8451.2379145282212</v>
      </c>
      <c r="L29" s="220"/>
    </row>
    <row r="30" spans="1:12" x14ac:dyDescent="0.2">
      <c r="A30" s="200" t="s">
        <v>37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2">
        <f>K19</f>
        <v>0.68138917957668332</v>
      </c>
      <c r="L30" s="201"/>
    </row>
    <row r="31" spans="1:12" x14ac:dyDescent="0.2">
      <c r="A31" s="219" t="s">
        <v>38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1">
        <f>K29*K30</f>
        <v>5758.5820689877446</v>
      </c>
      <c r="L31" s="220"/>
    </row>
    <row r="32" spans="1:12" ht="16" customHeight="1" x14ac:dyDescent="0.2">
      <c r="A32" s="326"/>
      <c r="B32" s="310"/>
      <c r="C32" s="310"/>
      <c r="D32" s="310"/>
      <c r="E32" s="310"/>
      <c r="F32" s="310"/>
      <c r="G32" s="310"/>
      <c r="H32" s="310"/>
      <c r="I32" s="310"/>
      <c r="J32" s="310"/>
      <c r="K32" s="310"/>
      <c r="L32" s="311"/>
    </row>
    <row r="33" spans="1:12" ht="26" customHeight="1" x14ac:dyDescent="0.2">
      <c r="A33" s="203" t="s">
        <v>39</v>
      </c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5">
        <f>L21</f>
        <v>1481.3379800877615</v>
      </c>
    </row>
    <row r="34" spans="1:12" ht="26" customHeight="1" x14ac:dyDescent="0.2">
      <c r="A34" s="206" t="s">
        <v>646</v>
      </c>
      <c r="B34" s="207"/>
      <c r="C34" s="207"/>
      <c r="D34" s="207"/>
      <c r="E34" s="207"/>
      <c r="F34" s="207"/>
      <c r="G34" s="207"/>
      <c r="H34" s="207"/>
      <c r="I34" s="207"/>
      <c r="J34" s="207"/>
      <c r="K34" s="207"/>
      <c r="L34" s="212">
        <f>K31</f>
        <v>5758.5820689877446</v>
      </c>
    </row>
    <row r="35" spans="1:12" ht="26" customHeight="1" x14ac:dyDescent="0.2">
      <c r="A35" s="222" t="s">
        <v>41</v>
      </c>
      <c r="B35" s="223"/>
      <c r="C35" s="223"/>
      <c r="D35" s="223"/>
      <c r="E35" s="223"/>
      <c r="F35" s="223"/>
      <c r="G35" s="223"/>
      <c r="H35" s="223"/>
      <c r="I35" s="223"/>
      <c r="J35" s="223"/>
      <c r="K35" s="223"/>
      <c r="L35" s="224">
        <f>L33+L34</f>
        <v>7239.9200490755065</v>
      </c>
    </row>
    <row r="36" spans="1:12" ht="35" customHeight="1" x14ac:dyDescent="0.2">
      <c r="A36" s="206" t="s">
        <v>42</v>
      </c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8">
        <v>-1850.65</v>
      </c>
    </row>
    <row r="37" spans="1:12" ht="26" customHeight="1" x14ac:dyDescent="0.2">
      <c r="A37" s="225" t="s">
        <v>43</v>
      </c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6">
        <f>L35+L36</f>
        <v>5389.2700490755069</v>
      </c>
    </row>
    <row r="38" spans="1:12" ht="26" customHeight="1" x14ac:dyDescent="0.2">
      <c r="A38" s="206" t="s">
        <v>44</v>
      </c>
      <c r="B38" s="207"/>
      <c r="C38" s="207"/>
      <c r="D38" s="207"/>
      <c r="E38" s="207"/>
      <c r="F38" s="207"/>
      <c r="G38" s="207"/>
      <c r="H38" s="207"/>
      <c r="I38" s="207"/>
      <c r="J38" s="207"/>
      <c r="K38" s="207"/>
      <c r="L38" s="209">
        <v>240.54</v>
      </c>
    </row>
    <row r="39" spans="1:12" x14ac:dyDescent="0.2">
      <c r="A39" s="227" t="s">
        <v>45</v>
      </c>
      <c r="B39" s="228"/>
      <c r="C39" s="228"/>
      <c r="D39" s="228"/>
      <c r="E39" s="228"/>
      <c r="F39" s="228"/>
      <c r="G39" s="228"/>
      <c r="H39" s="228"/>
      <c r="I39" s="228"/>
      <c r="J39" s="228"/>
      <c r="K39" s="228"/>
      <c r="L39" s="229">
        <f>L37/L38</f>
        <v>22.404880889147364</v>
      </c>
    </row>
    <row r="40" spans="1:12" x14ac:dyDescent="0.2">
      <c r="A40" s="206" t="s">
        <v>46</v>
      </c>
      <c r="B40" s="207"/>
      <c r="C40" s="207"/>
      <c r="D40" s="207"/>
      <c r="E40" s="207"/>
      <c r="F40" s="207"/>
      <c r="G40" s="207"/>
      <c r="H40" s="207"/>
      <c r="I40" s="207"/>
      <c r="J40" s="207"/>
      <c r="K40" s="207"/>
      <c r="L40" s="210">
        <v>17.899999999999999</v>
      </c>
    </row>
    <row r="41" spans="1:12" ht="26" customHeight="1" x14ac:dyDescent="0.2">
      <c r="A41" s="225" t="s">
        <v>47</v>
      </c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30">
        <f>(L39-L40)/L40</f>
        <v>0.25166932341605397</v>
      </c>
    </row>
    <row r="42" spans="1:12" ht="50" customHeight="1" x14ac:dyDescent="0.2">
      <c r="A42" s="322"/>
      <c r="B42" s="310"/>
      <c r="C42" s="310"/>
      <c r="D42" s="310"/>
      <c r="E42" s="310"/>
      <c r="F42" s="310"/>
      <c r="G42" s="310"/>
      <c r="H42" s="310"/>
      <c r="I42" s="310"/>
      <c r="J42" s="310"/>
      <c r="K42" s="310"/>
      <c r="L42" s="311"/>
    </row>
    <row r="44" spans="1:12" ht="20" customHeight="1" x14ac:dyDescent="0.2">
      <c r="A44" s="314" t="s">
        <v>48</v>
      </c>
      <c r="B44" s="310"/>
      <c r="C44" s="310"/>
      <c r="D44" s="310"/>
      <c r="E44" s="310"/>
      <c r="F44" s="310"/>
      <c r="G44" s="310"/>
      <c r="H44" s="310"/>
      <c r="I44" s="310"/>
      <c r="J44" s="310"/>
      <c r="K44" s="310"/>
      <c r="L44" s="311"/>
    </row>
    <row r="45" spans="1:12" ht="14" customHeight="1" x14ac:dyDescent="0.2">
      <c r="A45" s="309"/>
      <c r="B45" s="310"/>
      <c r="C45" s="310"/>
      <c r="D45" s="310"/>
      <c r="E45" s="310"/>
      <c r="F45" s="310"/>
      <c r="G45" s="310"/>
      <c r="H45" s="310"/>
      <c r="I45" s="310"/>
      <c r="J45" s="310"/>
      <c r="K45" s="310"/>
      <c r="L45" s="311"/>
    </row>
    <row r="46" spans="1:12" x14ac:dyDescent="0.2">
      <c r="A46" s="244" t="s">
        <v>49</v>
      </c>
      <c r="B46" s="231"/>
      <c r="C46" s="231"/>
      <c r="D46" s="231"/>
      <c r="E46" s="231"/>
      <c r="F46" s="231"/>
      <c r="G46" s="231"/>
      <c r="H46" s="231"/>
      <c r="I46" s="231"/>
      <c r="J46" s="231"/>
      <c r="K46" s="232">
        <f>K16</f>
        <v>555.7984075515468</v>
      </c>
      <c r="L46" s="231"/>
    </row>
    <row r="47" spans="1:12" x14ac:dyDescent="0.2">
      <c r="A47" s="243" t="s">
        <v>50</v>
      </c>
      <c r="B47" s="233"/>
      <c r="C47" s="233"/>
      <c r="D47" s="233"/>
      <c r="E47" s="233"/>
      <c r="F47" s="233"/>
      <c r="G47" s="233"/>
      <c r="H47" s="233"/>
      <c r="I47" s="233"/>
      <c r="J47" s="233"/>
      <c r="K47" s="237">
        <f>WACC!D39-0.02</f>
        <v>5.9744382999999998E-2</v>
      </c>
      <c r="L47" s="233"/>
    </row>
    <row r="48" spans="1:12" x14ac:dyDescent="0.2">
      <c r="A48" s="246" t="s">
        <v>36</v>
      </c>
      <c r="B48" s="247"/>
      <c r="C48" s="247"/>
      <c r="D48" s="247"/>
      <c r="E48" s="247"/>
      <c r="F48" s="247"/>
      <c r="G48" s="247"/>
      <c r="H48" s="247"/>
      <c r="I48" s="247"/>
      <c r="J48" s="247"/>
      <c r="K48" s="248">
        <f>K46*((1.02)/(K47))</f>
        <v>9488.9987516077927</v>
      </c>
      <c r="L48" s="247"/>
    </row>
    <row r="49" spans="1:12" x14ac:dyDescent="0.2">
      <c r="A49" s="243" t="s">
        <v>37</v>
      </c>
      <c r="B49" s="233"/>
      <c r="C49" s="233"/>
      <c r="D49" s="233"/>
      <c r="E49" s="233"/>
      <c r="F49" s="233"/>
      <c r="G49" s="233"/>
      <c r="H49" s="233"/>
      <c r="I49" s="233"/>
      <c r="J49" s="233"/>
      <c r="K49" s="238">
        <f>K19</f>
        <v>0.68138917957668332</v>
      </c>
      <c r="L49" s="233"/>
    </row>
    <row r="50" spans="1:12" x14ac:dyDescent="0.2">
      <c r="A50" s="246" t="s">
        <v>38</v>
      </c>
      <c r="B50" s="247"/>
      <c r="C50" s="247"/>
      <c r="D50" s="247"/>
      <c r="E50" s="247"/>
      <c r="F50" s="247"/>
      <c r="G50" s="247"/>
      <c r="H50" s="247"/>
      <c r="I50" s="247"/>
      <c r="J50" s="247"/>
      <c r="K50" s="248">
        <f>K48*K49</f>
        <v>6465.7010743622059</v>
      </c>
      <c r="L50" s="247"/>
    </row>
    <row r="51" spans="1:12" ht="16" customHeight="1" x14ac:dyDescent="0.2">
      <c r="A51" s="315"/>
      <c r="B51" s="310"/>
      <c r="C51" s="310"/>
      <c r="D51" s="310"/>
      <c r="E51" s="310"/>
      <c r="F51" s="310"/>
      <c r="G51" s="310"/>
      <c r="H51" s="310"/>
      <c r="I51" s="310"/>
      <c r="J51" s="310"/>
      <c r="K51" s="310"/>
      <c r="L51" s="311"/>
    </row>
    <row r="52" spans="1:12" x14ac:dyDescent="0.2">
      <c r="A52" s="245" t="s">
        <v>51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40">
        <f>L33</f>
        <v>1481.3379800877615</v>
      </c>
    </row>
    <row r="53" spans="1:12" x14ac:dyDescent="0.2">
      <c r="A53" s="234" t="s">
        <v>40</v>
      </c>
      <c r="B53" s="235"/>
      <c r="C53" s="235"/>
      <c r="D53" s="235"/>
      <c r="E53" s="235"/>
      <c r="F53" s="235"/>
      <c r="G53" s="235"/>
      <c r="H53" s="235"/>
      <c r="I53" s="235"/>
      <c r="J53" s="235"/>
      <c r="K53" s="235"/>
      <c r="L53" s="236">
        <f>K50</f>
        <v>6465.7010743622059</v>
      </c>
    </row>
    <row r="54" spans="1:12" x14ac:dyDescent="0.2">
      <c r="A54" s="249" t="s">
        <v>41</v>
      </c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1">
        <f>L52+L53</f>
        <v>7947.0390544499678</v>
      </c>
    </row>
    <row r="55" spans="1:12" x14ac:dyDescent="0.2">
      <c r="A55" s="245" t="s">
        <v>52</v>
      </c>
      <c r="B55" s="235"/>
      <c r="C55" s="235"/>
      <c r="D55" s="235"/>
      <c r="E55" s="235"/>
      <c r="F55" s="235"/>
      <c r="G55" s="235"/>
      <c r="H55" s="235"/>
      <c r="I55" s="235"/>
      <c r="J55" s="235"/>
      <c r="K55" s="235"/>
      <c r="L55" s="236">
        <f>L36</f>
        <v>-1850.65</v>
      </c>
    </row>
    <row r="56" spans="1:12" x14ac:dyDescent="0.2">
      <c r="A56" s="252" t="s">
        <v>53</v>
      </c>
      <c r="B56" s="250"/>
      <c r="C56" s="250"/>
      <c r="D56" s="250"/>
      <c r="E56" s="250"/>
      <c r="F56" s="250"/>
      <c r="G56" s="250"/>
      <c r="H56" s="250"/>
      <c r="I56" s="250"/>
      <c r="J56" s="250"/>
      <c r="K56" s="250"/>
      <c r="L56" s="251">
        <f>L54+L55</f>
        <v>6096.3890544499682</v>
      </c>
    </row>
    <row r="57" spans="1:12" x14ac:dyDescent="0.2">
      <c r="A57" s="234" t="s">
        <v>44</v>
      </c>
      <c r="B57" s="235"/>
      <c r="C57" s="235"/>
      <c r="D57" s="235"/>
      <c r="E57" s="235"/>
      <c r="F57" s="235"/>
      <c r="G57" s="235"/>
      <c r="H57" s="235"/>
      <c r="I57" s="235"/>
      <c r="J57" s="235"/>
      <c r="K57" s="235"/>
      <c r="L57" s="241">
        <v>240.54</v>
      </c>
    </row>
    <row r="58" spans="1:12" x14ac:dyDescent="0.2">
      <c r="A58" s="253" t="s">
        <v>45</v>
      </c>
      <c r="B58" s="250"/>
      <c r="C58" s="250"/>
      <c r="D58" s="250"/>
      <c r="E58" s="250"/>
      <c r="F58" s="250"/>
      <c r="G58" s="250"/>
      <c r="H58" s="250"/>
      <c r="I58" s="250"/>
      <c r="J58" s="250"/>
      <c r="K58" s="250"/>
      <c r="L58" s="254">
        <f>L56/L57</f>
        <v>25.344595719838566</v>
      </c>
    </row>
    <row r="59" spans="1:12" x14ac:dyDescent="0.2">
      <c r="A59" s="245" t="s">
        <v>648</v>
      </c>
      <c r="B59" s="235"/>
      <c r="C59" s="235"/>
      <c r="D59" s="235"/>
      <c r="E59" s="235"/>
      <c r="F59" s="235"/>
      <c r="G59" s="235"/>
      <c r="H59" s="235"/>
      <c r="I59" s="235"/>
      <c r="J59" s="235"/>
      <c r="K59" s="235"/>
      <c r="L59" s="242">
        <v>17.899999999999999</v>
      </c>
    </row>
    <row r="60" spans="1:12" x14ac:dyDescent="0.2">
      <c r="A60" s="249" t="s">
        <v>47</v>
      </c>
      <c r="B60" s="250"/>
      <c r="C60" s="250"/>
      <c r="D60" s="250"/>
      <c r="E60" s="250"/>
      <c r="F60" s="250"/>
      <c r="G60" s="250"/>
      <c r="H60" s="250"/>
      <c r="I60" s="250"/>
      <c r="J60" s="250"/>
      <c r="K60" s="250"/>
      <c r="L60" s="255">
        <f>(L58-L59)/L59</f>
        <v>0.41589920222561833</v>
      </c>
    </row>
    <row r="61" spans="1:12" x14ac:dyDescent="0.2">
      <c r="A61" s="312"/>
      <c r="B61" s="310"/>
      <c r="C61" s="310"/>
      <c r="D61" s="310"/>
      <c r="E61" s="310"/>
      <c r="F61" s="310"/>
      <c r="G61" s="310"/>
      <c r="H61" s="310"/>
      <c r="I61" s="310"/>
      <c r="J61" s="310"/>
      <c r="K61" s="310"/>
      <c r="L61" s="311"/>
    </row>
    <row r="64" spans="1:12" x14ac:dyDescent="0.2">
      <c r="A64" s="324"/>
      <c r="B64" s="282"/>
      <c r="C64" s="282"/>
      <c r="D64" s="282"/>
      <c r="E64" s="282"/>
      <c r="F64" s="282"/>
    </row>
    <row r="65" spans="1:7" x14ac:dyDescent="0.2">
      <c r="A65" s="323"/>
      <c r="B65" s="310"/>
      <c r="C65" s="310"/>
      <c r="D65" s="310"/>
      <c r="E65" s="310"/>
      <c r="F65" s="310"/>
      <c r="G65" s="311"/>
    </row>
    <row r="66" spans="1:7" x14ac:dyDescent="0.2">
      <c r="A66" s="277" t="s">
        <v>559</v>
      </c>
      <c r="B66" s="277" t="s">
        <v>549</v>
      </c>
      <c r="C66" s="277" t="s">
        <v>550</v>
      </c>
      <c r="D66" s="278" t="s">
        <v>551</v>
      </c>
      <c r="E66" s="277" t="s">
        <v>552</v>
      </c>
      <c r="F66" s="277" t="s">
        <v>56</v>
      </c>
    </row>
    <row r="67" spans="1:7" x14ac:dyDescent="0.2">
      <c r="A67" s="279" t="s">
        <v>59</v>
      </c>
      <c r="B67" s="274">
        <v>20.13</v>
      </c>
      <c r="C67" s="274">
        <v>21.93</v>
      </c>
      <c r="D67" s="275">
        <v>23.72</v>
      </c>
      <c r="E67" s="274">
        <v>25.51</v>
      </c>
      <c r="F67" s="274">
        <v>27.3</v>
      </c>
    </row>
    <row r="68" spans="1:7" ht="16" customHeight="1" x14ac:dyDescent="0.2">
      <c r="A68" s="279" t="s">
        <v>60</v>
      </c>
      <c r="B68" s="274">
        <v>19.54</v>
      </c>
      <c r="C68" s="274">
        <v>21.29</v>
      </c>
      <c r="D68" s="275">
        <v>23.04</v>
      </c>
      <c r="E68" s="274">
        <v>24.79</v>
      </c>
      <c r="F68" s="274">
        <v>26.54</v>
      </c>
    </row>
    <row r="69" spans="1:7" ht="16" customHeight="1" x14ac:dyDescent="0.2">
      <c r="A69" s="278" t="s">
        <v>627</v>
      </c>
      <c r="B69" s="275">
        <v>18.96</v>
      </c>
      <c r="C69" s="275">
        <v>20.67</v>
      </c>
      <c r="D69" s="276">
        <v>22.37</v>
      </c>
      <c r="E69" s="275">
        <v>24.09</v>
      </c>
      <c r="F69" s="275">
        <v>25.8</v>
      </c>
    </row>
    <row r="70" spans="1:7" x14ac:dyDescent="0.2">
      <c r="A70" s="279" t="s">
        <v>628</v>
      </c>
      <c r="B70" s="274">
        <v>18.39</v>
      </c>
      <c r="C70" s="274">
        <v>20.059999999999999</v>
      </c>
      <c r="D70" s="275">
        <v>21.73</v>
      </c>
      <c r="E70" s="274">
        <v>23.41</v>
      </c>
      <c r="F70" s="274">
        <v>25.08</v>
      </c>
    </row>
    <row r="71" spans="1:7" x14ac:dyDescent="0.2">
      <c r="A71" s="279" t="s">
        <v>629</v>
      </c>
      <c r="B71" s="274">
        <v>17.84</v>
      </c>
      <c r="C71" s="274">
        <v>19.47</v>
      </c>
      <c r="D71" s="275">
        <v>21.11</v>
      </c>
      <c r="E71" s="274">
        <v>22.74</v>
      </c>
      <c r="F71" s="274">
        <v>24.37</v>
      </c>
    </row>
    <row r="73" spans="1:7" x14ac:dyDescent="0.2">
      <c r="A73" s="277" t="s">
        <v>553</v>
      </c>
      <c r="B73" s="277" t="s">
        <v>554</v>
      </c>
      <c r="C73" s="277" t="s">
        <v>555</v>
      </c>
      <c r="D73" s="278" t="s">
        <v>556</v>
      </c>
      <c r="E73" s="277" t="s">
        <v>557</v>
      </c>
      <c r="F73" s="277" t="s">
        <v>558</v>
      </c>
    </row>
    <row r="74" spans="1:7" x14ac:dyDescent="0.2">
      <c r="A74" s="279" t="s">
        <v>59</v>
      </c>
      <c r="B74" s="274">
        <v>26.54</v>
      </c>
      <c r="C74" s="274">
        <v>29.24</v>
      </c>
      <c r="D74" s="275">
        <v>32.479999999999997</v>
      </c>
      <c r="E74" s="274">
        <v>36.46</v>
      </c>
      <c r="F74" s="274">
        <v>41.43</v>
      </c>
    </row>
    <row r="75" spans="1:7" x14ac:dyDescent="0.2">
      <c r="A75" s="279" t="s">
        <v>60</v>
      </c>
      <c r="B75" s="274">
        <v>23.69</v>
      </c>
      <c r="C75" s="274">
        <v>25.93</v>
      </c>
      <c r="D75" s="275">
        <v>28.58</v>
      </c>
      <c r="E75" s="274">
        <v>31.77</v>
      </c>
      <c r="F75" s="274">
        <v>35.659999999999997</v>
      </c>
    </row>
    <row r="76" spans="1:7" x14ac:dyDescent="0.2">
      <c r="A76" s="278" t="s">
        <v>627</v>
      </c>
      <c r="B76" s="275">
        <v>21.25</v>
      </c>
      <c r="C76" s="275">
        <v>23.13</v>
      </c>
      <c r="D76" s="276">
        <v>25.31</v>
      </c>
      <c r="E76" s="275">
        <v>27.94</v>
      </c>
      <c r="F76" s="275">
        <v>31.06</v>
      </c>
    </row>
    <row r="77" spans="1:7" x14ac:dyDescent="0.2">
      <c r="A77" s="279" t="s">
        <v>628</v>
      </c>
      <c r="B77" s="274">
        <v>19.14</v>
      </c>
      <c r="C77" s="274">
        <v>20.74</v>
      </c>
      <c r="D77" s="275">
        <v>22.59</v>
      </c>
      <c r="E77" s="274">
        <v>24.75</v>
      </c>
      <c r="F77" s="274">
        <v>27.31</v>
      </c>
    </row>
    <row r="78" spans="1:7" x14ac:dyDescent="0.2">
      <c r="A78" s="279" t="s">
        <v>629</v>
      </c>
      <c r="B78" s="274">
        <v>17.3</v>
      </c>
      <c r="C78" s="274">
        <v>18.670000000000002</v>
      </c>
      <c r="D78" s="275">
        <v>20.25</v>
      </c>
      <c r="E78" s="274">
        <v>22.06</v>
      </c>
      <c r="F78" s="274">
        <v>24.18</v>
      </c>
    </row>
    <row r="82" spans="1:2" x14ac:dyDescent="0.2">
      <c r="A82" s="258" t="s">
        <v>562</v>
      </c>
      <c r="B82" s="259">
        <f>K27</f>
        <v>1207.3197020754601</v>
      </c>
    </row>
    <row r="83" spans="1:2" x14ac:dyDescent="0.2">
      <c r="A83" s="260" t="s">
        <v>570</v>
      </c>
      <c r="B83" s="261">
        <f>7</f>
        <v>7</v>
      </c>
    </row>
    <row r="84" spans="1:2" x14ac:dyDescent="0.2">
      <c r="A84" s="258" t="s">
        <v>563</v>
      </c>
      <c r="B84" s="259">
        <f>K29</f>
        <v>8451.2379145282212</v>
      </c>
    </row>
    <row r="85" spans="1:2" x14ac:dyDescent="0.2">
      <c r="A85" s="258" t="s">
        <v>564</v>
      </c>
      <c r="B85" s="262">
        <f t="shared" ref="B85:B86" si="4">K30</f>
        <v>0.68138917957668332</v>
      </c>
    </row>
    <row r="86" spans="1:2" ht="26" customHeight="1" x14ac:dyDescent="0.2">
      <c r="A86" s="258" t="s">
        <v>38</v>
      </c>
      <c r="B86" s="259">
        <f t="shared" si="4"/>
        <v>5758.5820689877446</v>
      </c>
    </row>
    <row r="87" spans="1:2" x14ac:dyDescent="0.2">
      <c r="A87" s="258" t="s">
        <v>569</v>
      </c>
      <c r="B87" s="259">
        <f>L33</f>
        <v>1481.3379800877615</v>
      </c>
    </row>
    <row r="90" spans="1:2" x14ac:dyDescent="0.2">
      <c r="A90" s="265" t="s">
        <v>571</v>
      </c>
      <c r="B90" s="259">
        <f>L35</f>
        <v>7239.9200490755065</v>
      </c>
    </row>
    <row r="91" spans="1:2" x14ac:dyDescent="0.2">
      <c r="A91" s="265" t="s">
        <v>565</v>
      </c>
      <c r="B91" s="259">
        <f t="shared" ref="B91:B92" si="5">L36</f>
        <v>-1850.65</v>
      </c>
    </row>
    <row r="92" spans="1:2" x14ac:dyDescent="0.2">
      <c r="A92" s="265" t="s">
        <v>566</v>
      </c>
      <c r="B92" s="259">
        <f t="shared" si="5"/>
        <v>5389.2700490755069</v>
      </c>
    </row>
    <row r="93" spans="1:2" x14ac:dyDescent="0.2">
      <c r="A93" s="265" t="s">
        <v>567</v>
      </c>
      <c r="B93" s="263">
        <f>L38</f>
        <v>240.54</v>
      </c>
    </row>
    <row r="94" spans="1:2" x14ac:dyDescent="0.2">
      <c r="A94" s="265" t="s">
        <v>568</v>
      </c>
      <c r="B94" s="264">
        <f>L39</f>
        <v>22.404880889147364</v>
      </c>
    </row>
    <row r="98" spans="1:4" x14ac:dyDescent="0.2">
      <c r="A98" s="266"/>
      <c r="B98" s="267" t="s">
        <v>578</v>
      </c>
      <c r="C98" s="267" t="s">
        <v>586</v>
      </c>
      <c r="D98" s="267" t="s">
        <v>579</v>
      </c>
    </row>
    <row r="99" spans="1:4" x14ac:dyDescent="0.2">
      <c r="A99" s="266" t="s">
        <v>572</v>
      </c>
      <c r="B99" s="281">
        <f>'FCF_Projections pessimiste'!L35</f>
        <v>8.5568358700874274</v>
      </c>
      <c r="C99" s="268" t="s">
        <v>638</v>
      </c>
      <c r="D99" s="268" t="s">
        <v>582</v>
      </c>
    </row>
    <row r="100" spans="1:4" x14ac:dyDescent="0.2">
      <c r="A100" s="266" t="s">
        <v>573</v>
      </c>
      <c r="B100" s="281">
        <f>'FCF_Projections pessimiste'!L54</f>
        <v>12.941054470777885</v>
      </c>
      <c r="C100" s="268" t="s">
        <v>639</v>
      </c>
      <c r="D100" s="268" t="s">
        <v>583</v>
      </c>
    </row>
    <row r="101" spans="1:4" x14ac:dyDescent="0.2">
      <c r="A101" s="266"/>
      <c r="B101" s="268"/>
      <c r="C101" s="268"/>
      <c r="D101" s="268"/>
    </row>
    <row r="102" spans="1:4" x14ac:dyDescent="0.2">
      <c r="A102" s="266" t="s">
        <v>574</v>
      </c>
      <c r="B102" s="269">
        <f>'FCF_Projections central'!L39</f>
        <v>22.404880889147364</v>
      </c>
      <c r="C102" s="268" t="s">
        <v>640</v>
      </c>
      <c r="D102" s="268" t="s">
        <v>580</v>
      </c>
    </row>
    <row r="103" spans="1:4" x14ac:dyDescent="0.2">
      <c r="A103" s="266" t="s">
        <v>575</v>
      </c>
      <c r="B103" s="269">
        <f>L58</f>
        <v>25.344595719838566</v>
      </c>
      <c r="C103" s="268" t="s">
        <v>641</v>
      </c>
      <c r="D103" s="268" t="s">
        <v>581</v>
      </c>
    </row>
    <row r="104" spans="1:4" x14ac:dyDescent="0.2">
      <c r="A104" s="266"/>
      <c r="B104" s="268"/>
      <c r="C104" s="268"/>
      <c r="D104" s="268"/>
    </row>
    <row r="105" spans="1:4" x14ac:dyDescent="0.2">
      <c r="A105" s="266" t="s">
        <v>576</v>
      </c>
      <c r="B105" s="281">
        <f>'FCF _Projections optimistes '!L38</f>
        <v>39.036306991478511</v>
      </c>
      <c r="C105" s="268" t="s">
        <v>642</v>
      </c>
      <c r="D105" s="268" t="s">
        <v>584</v>
      </c>
    </row>
    <row r="106" spans="1:4" x14ac:dyDescent="0.2">
      <c r="A106" s="266" t="s">
        <v>577</v>
      </c>
      <c r="B106" s="281">
        <f>'FCF _Projections optimistes '!L56</f>
        <v>35.993509012646449</v>
      </c>
      <c r="C106" s="270" t="s">
        <v>643</v>
      </c>
      <c r="D106" s="268" t="s">
        <v>585</v>
      </c>
    </row>
  </sheetData>
  <mergeCells count="20">
    <mergeCell ref="A65:G65"/>
    <mergeCell ref="A64:F64"/>
    <mergeCell ref="A23:L23"/>
    <mergeCell ref="A32:L32"/>
    <mergeCell ref="A17:L17"/>
    <mergeCell ref="A1:L1"/>
    <mergeCell ref="A45:L45"/>
    <mergeCell ref="A61:L61"/>
    <mergeCell ref="A6:L6"/>
    <mergeCell ref="A44:L44"/>
    <mergeCell ref="A11:L11"/>
    <mergeCell ref="A51:L51"/>
    <mergeCell ref="A25:L25"/>
    <mergeCell ref="A18:F18"/>
    <mergeCell ref="A2:L2"/>
    <mergeCell ref="A21:K21"/>
    <mergeCell ref="A20:F20"/>
    <mergeCell ref="A19:F19"/>
    <mergeCell ref="A26:L26"/>
    <mergeCell ref="A42:L42"/>
  </mergeCells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0"/>
  <sheetViews>
    <sheetView topLeftCell="A45" zoomScale="125" zoomScaleNormal="125" workbookViewId="0">
      <selection activeCell="L60" sqref="L60"/>
    </sheetView>
  </sheetViews>
  <sheetFormatPr baseColWidth="10" defaultRowHeight="15" x14ac:dyDescent="0.2"/>
  <cols>
    <col min="1" max="1" width="20" bestFit="1" customWidth="1"/>
  </cols>
  <sheetData>
    <row r="1" spans="1:12" ht="17" customHeight="1" x14ac:dyDescent="0.2">
      <c r="A1" s="307" t="s">
        <v>644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</row>
    <row r="2" spans="1:12" x14ac:dyDescent="0.2">
      <c r="A2" s="31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</row>
    <row r="3" spans="1:12" x14ac:dyDescent="0.2">
      <c r="A3" s="213" t="s">
        <v>1</v>
      </c>
      <c r="B3" s="213" t="s">
        <v>2</v>
      </c>
      <c r="C3" s="213" t="s">
        <v>3</v>
      </c>
      <c r="D3" s="213" t="s">
        <v>4</v>
      </c>
      <c r="E3" s="213" t="s">
        <v>5</v>
      </c>
      <c r="F3" s="213" t="s">
        <v>6</v>
      </c>
      <c r="G3" s="213" t="s">
        <v>7</v>
      </c>
      <c r="H3" s="213" t="s">
        <v>8</v>
      </c>
      <c r="I3" s="213" t="s">
        <v>9</v>
      </c>
      <c r="J3" s="213" t="s">
        <v>10</v>
      </c>
      <c r="K3" s="213" t="s">
        <v>11</v>
      </c>
      <c r="L3" s="213" t="s">
        <v>12</v>
      </c>
    </row>
    <row r="4" spans="1:12" x14ac:dyDescent="0.2">
      <c r="A4" s="159" t="s">
        <v>13</v>
      </c>
      <c r="B4" s="160">
        <f>'P&amp;L'!B9</f>
        <v>3963.3100000000009</v>
      </c>
      <c r="C4" s="160">
        <f>'P&amp;L'!C9</f>
        <v>4155.1970000000001</v>
      </c>
      <c r="D4" s="160">
        <f>'P&amp;L'!D9</f>
        <v>3875.7</v>
      </c>
      <c r="E4" s="160">
        <f>'P&amp;L'!E9</f>
        <v>3496</v>
      </c>
      <c r="F4" s="160">
        <f>'P&amp;L'!F9</f>
        <v>3609</v>
      </c>
      <c r="G4" s="160">
        <f>Projections!G74</f>
        <v>3597.4400000000005</v>
      </c>
      <c r="H4" s="160">
        <f>Projections!H74</f>
        <v>3597.11</v>
      </c>
      <c r="I4" s="160">
        <f>Projections!I74</f>
        <v>3621.8439000000003</v>
      </c>
      <c r="J4" s="160">
        <f>Projections!J74</f>
        <v>3666.1681070000004</v>
      </c>
      <c r="K4" s="160">
        <f>Projections!K74</f>
        <v>3707.8678278000002</v>
      </c>
      <c r="L4" s="161"/>
    </row>
    <row r="5" spans="1:12" x14ac:dyDescent="0.2">
      <c r="A5" s="162" t="s">
        <v>14</v>
      </c>
      <c r="B5" s="163" t="s">
        <v>15</v>
      </c>
      <c r="C5" s="164">
        <f t="shared" ref="C5:K5" si="0">IFERROR(C4/B4-1,"na")</f>
        <v>4.8415844332136304E-2</v>
      </c>
      <c r="D5" s="165">
        <f t="shared" si="0"/>
        <v>-6.7264440169744089E-2</v>
      </c>
      <c r="E5" s="165">
        <f t="shared" si="0"/>
        <v>-9.7969399076295871E-2</v>
      </c>
      <c r="F5" s="164">
        <f t="shared" si="0"/>
        <v>3.2322654462242584E-2</v>
      </c>
      <c r="G5" s="256">
        <f t="shared" si="0"/>
        <v>-3.2031033527291086E-3</v>
      </c>
      <c r="H5" s="256">
        <f t="shared" si="0"/>
        <v>-9.1731898238855969E-5</v>
      </c>
      <c r="I5" s="164">
        <f t="shared" si="0"/>
        <v>6.876047716083189E-3</v>
      </c>
      <c r="J5" s="164">
        <f t="shared" si="0"/>
        <v>1.2238022461431797E-2</v>
      </c>
      <c r="K5" s="164">
        <f t="shared" si="0"/>
        <v>1.1374197686238263E-2</v>
      </c>
      <c r="L5" s="166"/>
    </row>
    <row r="6" spans="1:12" x14ac:dyDescent="0.2">
      <c r="A6" s="167" t="s">
        <v>16</v>
      </c>
      <c r="B6" s="168">
        <f>'P&amp;L'!B48</f>
        <v>971.38200000000006</v>
      </c>
      <c r="C6" s="168">
        <f>'P&amp;L'!C48</f>
        <v>864.67699999999991</v>
      </c>
      <c r="D6" s="168">
        <f>'P&amp;L'!D48</f>
        <v>673.45900000000006</v>
      </c>
      <c r="E6" s="168">
        <f>'P&amp;L'!E48</f>
        <v>478.5</v>
      </c>
      <c r="F6" s="168">
        <f>'P&amp;L'!F48</f>
        <v>579</v>
      </c>
      <c r="G6" s="168">
        <f>Projections!G90+Projections!G101+Projections!G112+Projections!G123+Projections!G129</f>
        <v>526.05659999999989</v>
      </c>
      <c r="H6" s="168">
        <f>Projections!H90+Projections!H101+Projections!H112+Projections!H123+Projections!H129</f>
        <v>508.68930000000012</v>
      </c>
      <c r="I6" s="168">
        <f>Projections!I90+Projections!I101+Projections!I112+Projections!I123+Projections!I129</f>
        <v>506.15538800000013</v>
      </c>
      <c r="J6" s="168">
        <f>Projections!J90+Projections!J101+Projections!J112+Projections!J123+Projections!J129</f>
        <v>517.13824239000007</v>
      </c>
      <c r="K6" s="168">
        <f>Projections!K90+Projections!K101+Projections!K112+Projections!K123+Projections!K129</f>
        <v>523.10090990599997</v>
      </c>
      <c r="L6" s="161"/>
    </row>
    <row r="7" spans="1:12" x14ac:dyDescent="0.2">
      <c r="A7" s="162" t="s">
        <v>17</v>
      </c>
      <c r="B7" s="164">
        <f>B6/B4</f>
        <v>0.24509362124083148</v>
      </c>
      <c r="C7" s="164">
        <f>C6/C4</f>
        <v>0.20809530811655857</v>
      </c>
      <c r="D7" s="164">
        <f>D6/D4</f>
        <v>0.17376448125499913</v>
      </c>
      <c r="E7" s="164">
        <f>E6/E4</f>
        <v>0.13687070938215104</v>
      </c>
      <c r="F7" s="164">
        <f>F6/F4</f>
        <v>0.16043225270157938</v>
      </c>
      <c r="G7" s="164">
        <f>G6/G4</f>
        <v>0.14623081969400459</v>
      </c>
      <c r="H7" s="164">
        <f>H6/H4</f>
        <v>0.14141610904309296</v>
      </c>
      <c r="I7" s="164">
        <f>I6/I4</f>
        <v>0.13975074629803899</v>
      </c>
      <c r="J7" s="164">
        <f>J6/J4</f>
        <v>0.14105688208966791</v>
      </c>
      <c r="K7" s="164">
        <f>K6/K4</f>
        <v>0.1410786290665525</v>
      </c>
      <c r="L7" s="166"/>
    </row>
    <row r="8" spans="1:12" x14ac:dyDescent="0.2">
      <c r="A8" s="162" t="s">
        <v>18</v>
      </c>
      <c r="B8" s="164">
        <f>'P&amp;L'!B74</f>
        <v>0.24399999999999999</v>
      </c>
      <c r="C8" s="164">
        <f>'P&amp;L'!C74</f>
        <v>0.20399999999999999</v>
      </c>
      <c r="D8" s="164">
        <f>'P&amp;L'!D74</f>
        <v>0.252</v>
      </c>
      <c r="E8" s="164">
        <f>'P&amp;L'!E74</f>
        <v>0.29199999999999998</v>
      </c>
      <c r="F8" s="164">
        <f>'P&amp;L'!F74</f>
        <v>0.26100000000000001</v>
      </c>
      <c r="G8" s="164">
        <v>0.25</v>
      </c>
      <c r="H8" s="164">
        <v>0.25</v>
      </c>
      <c r="I8" s="164">
        <v>0.25</v>
      </c>
      <c r="J8" s="164">
        <v>0.25</v>
      </c>
      <c r="K8" s="164">
        <v>0.25</v>
      </c>
      <c r="L8" s="166"/>
    </row>
    <row r="9" spans="1:12" x14ac:dyDescent="0.2">
      <c r="A9" s="214" t="s">
        <v>19</v>
      </c>
      <c r="B9" s="215">
        <f t="shared" ref="B9:K9" si="1">B6*(1-B8)</f>
        <v>734.36479200000008</v>
      </c>
      <c r="C9" s="215">
        <f t="shared" si="1"/>
        <v>688.28289199999995</v>
      </c>
      <c r="D9" s="215">
        <f t="shared" si="1"/>
        <v>503.74733200000003</v>
      </c>
      <c r="E9" s="215">
        <f t="shared" si="1"/>
        <v>338.77799999999996</v>
      </c>
      <c r="F9" s="215">
        <f t="shared" si="1"/>
        <v>427.88099999999997</v>
      </c>
      <c r="G9" s="215">
        <f t="shared" si="1"/>
        <v>394.54244999999992</v>
      </c>
      <c r="H9" s="215">
        <f t="shared" si="1"/>
        <v>381.51697500000012</v>
      </c>
      <c r="I9" s="215">
        <f t="shared" si="1"/>
        <v>379.6165410000001</v>
      </c>
      <c r="J9" s="215">
        <f t="shared" si="1"/>
        <v>387.85368179250008</v>
      </c>
      <c r="K9" s="215">
        <f t="shared" si="1"/>
        <v>392.32568242949998</v>
      </c>
      <c r="L9" s="216"/>
    </row>
    <row r="10" spans="1:12" x14ac:dyDescent="0.2">
      <c r="A10" s="159" t="s">
        <v>20</v>
      </c>
      <c r="B10" s="160">
        <f>-'P&amp;L'!B32</f>
        <v>279.53499999999997</v>
      </c>
      <c r="C10" s="160">
        <f>-'P&amp;L'!C32</f>
        <v>285.93200000000002</v>
      </c>
      <c r="D10" s="160">
        <f>-'P&amp;L'!D32</f>
        <v>298.59999999999997</v>
      </c>
      <c r="E10" s="160">
        <f>-'P&amp;L'!E32</f>
        <v>285.3</v>
      </c>
      <c r="F10" s="160">
        <f>-'P&amp;L'!F32</f>
        <v>267.7</v>
      </c>
      <c r="G10" s="160">
        <f>Projections!G179</f>
        <v>275.07</v>
      </c>
      <c r="H10" s="160">
        <f>Projections!H179</f>
        <v>339.99999999999994</v>
      </c>
      <c r="I10" s="160">
        <f>Projections!I179</f>
        <v>281.56299999999999</v>
      </c>
      <c r="J10" s="160">
        <f>Projections!J179</f>
        <v>288.40669999999994</v>
      </c>
      <c r="K10" s="160">
        <f>Projections!K179</f>
        <v>295.06602999999996</v>
      </c>
      <c r="L10" s="161"/>
    </row>
    <row r="11" spans="1:12" x14ac:dyDescent="0.2">
      <c r="A11" s="159" t="s">
        <v>21</v>
      </c>
      <c r="B11" s="160">
        <f>B6+B10</f>
        <v>1250.9169999999999</v>
      </c>
      <c r="C11" s="160">
        <f>C6+C10</f>
        <v>1150.6089999999999</v>
      </c>
      <c r="D11" s="160">
        <f>D6+D10</f>
        <v>972.05899999999997</v>
      </c>
      <c r="E11" s="160">
        <f>E6+E10</f>
        <v>763.8</v>
      </c>
      <c r="F11" s="160">
        <f>F6+F10</f>
        <v>846.7</v>
      </c>
      <c r="G11" s="160">
        <f>G6+G10</f>
        <v>801.12659999999983</v>
      </c>
      <c r="H11" s="160">
        <f>H6+H10</f>
        <v>848.6893</v>
      </c>
      <c r="I11" s="160">
        <f>I6+I10</f>
        <v>787.71838800000012</v>
      </c>
      <c r="J11" s="160">
        <f>J6+J10</f>
        <v>805.54494238999996</v>
      </c>
      <c r="K11" s="160">
        <f>K6+K10</f>
        <v>818.16693990599993</v>
      </c>
      <c r="L11" s="161"/>
    </row>
    <row r="12" spans="1:12" x14ac:dyDescent="0.2">
      <c r="A12" s="162" t="s">
        <v>22</v>
      </c>
      <c r="B12" s="169">
        <f>Projections!B188</f>
        <v>388.59700000000004</v>
      </c>
      <c r="C12" s="169">
        <f>Projections!C188</f>
        <v>469.6</v>
      </c>
      <c r="D12" s="169">
        <f>Projections!D188</f>
        <v>857.00000000000011</v>
      </c>
      <c r="E12" s="169">
        <f>Projections!E188</f>
        <v>554.70000000000005</v>
      </c>
      <c r="F12" s="169">
        <f>Projections!F188</f>
        <v>308.89999999999998</v>
      </c>
      <c r="G12" s="169">
        <f>Projections!G193</f>
        <v>340</v>
      </c>
      <c r="H12" s="169">
        <f>Projections!H193</f>
        <v>340</v>
      </c>
      <c r="I12" s="169">
        <f>Projections!I193</f>
        <v>350</v>
      </c>
      <c r="J12" s="169">
        <f>Projections!J193</f>
        <v>355</v>
      </c>
      <c r="K12" s="169">
        <f>Projections!K193</f>
        <v>355</v>
      </c>
      <c r="L12" s="166"/>
    </row>
    <row r="13" spans="1:12" x14ac:dyDescent="0.2">
      <c r="A13" s="170" t="s">
        <v>23</v>
      </c>
      <c r="B13" s="329">
        <v>-127.584</v>
      </c>
      <c r="C13" s="329">
        <v>221.00299999999999</v>
      </c>
      <c r="D13" s="329">
        <v>-497.94099999999997</v>
      </c>
      <c r="E13" s="329">
        <v>-977.2</v>
      </c>
      <c r="F13" s="171">
        <v>196.5</v>
      </c>
      <c r="G13" s="172">
        <f>Projections!G234</f>
        <v>234.30446928328502</v>
      </c>
      <c r="H13" s="172">
        <f>Projections!H234</f>
        <v>-1.6830656504225772E-2</v>
      </c>
      <c r="I13" s="172">
        <f>Projections!I234</f>
        <v>1.261478105792321</v>
      </c>
      <c r="J13" s="172">
        <f>Projections!J234</f>
        <v>2.2606227358869546</v>
      </c>
      <c r="K13" s="172">
        <f>Projections!K234</f>
        <v>2.12676871851545</v>
      </c>
      <c r="L13" s="161"/>
    </row>
    <row r="14" spans="1:12" x14ac:dyDescent="0.2">
      <c r="A14" s="173" t="s">
        <v>24</v>
      </c>
      <c r="B14" s="174">
        <v>752.88679999999999</v>
      </c>
      <c r="C14" s="174">
        <v>283.61189999999999</v>
      </c>
      <c r="D14" s="174">
        <v>443.28829999999999</v>
      </c>
      <c r="E14" s="174">
        <v>1046.578</v>
      </c>
      <c r="F14" s="174">
        <v>190.18100000000001</v>
      </c>
      <c r="G14" s="175">
        <f>G9+G10-G12-G13</f>
        <v>95.307980716714837</v>
      </c>
      <c r="H14" s="175">
        <f>H9+H10-H12-H13</f>
        <v>381.53380565650423</v>
      </c>
      <c r="I14" s="175">
        <f>I9+I10-I12-I13</f>
        <v>309.91806289420776</v>
      </c>
      <c r="J14" s="175">
        <f>J9+J10-J12-J13</f>
        <v>318.99975905661313</v>
      </c>
      <c r="K14" s="175">
        <f>K9+K10-K12-K13</f>
        <v>330.26494371098443</v>
      </c>
      <c r="L14" s="176"/>
    </row>
    <row r="15" spans="1:12" ht="2" customHeight="1" x14ac:dyDescent="0.2">
      <c r="A15" s="313"/>
      <c r="B15" s="308"/>
      <c r="C15" s="308"/>
      <c r="D15" s="308"/>
      <c r="E15" s="308"/>
      <c r="F15" s="308"/>
      <c r="G15" s="308"/>
      <c r="H15" s="308"/>
      <c r="I15" s="308"/>
      <c r="J15" s="308"/>
      <c r="K15" s="308"/>
      <c r="L15" s="308"/>
    </row>
    <row r="16" spans="1:12" x14ac:dyDescent="0.2">
      <c r="A16" s="317"/>
      <c r="B16" s="308"/>
      <c r="C16" s="308"/>
      <c r="D16" s="308"/>
      <c r="E16" s="308"/>
      <c r="F16" s="308"/>
      <c r="G16" s="213" t="s">
        <v>25</v>
      </c>
      <c r="H16" s="213" t="s">
        <v>26</v>
      </c>
      <c r="I16" s="213" t="s">
        <v>27</v>
      </c>
      <c r="J16" s="213" t="s">
        <v>28</v>
      </c>
      <c r="K16" s="213" t="s">
        <v>29</v>
      </c>
      <c r="L16" s="217"/>
    </row>
    <row r="17" spans="1:12" x14ac:dyDescent="0.2">
      <c r="A17" s="320" t="s">
        <v>30</v>
      </c>
      <c r="B17" s="308"/>
      <c r="C17" s="308"/>
      <c r="D17" s="308"/>
      <c r="E17" s="308"/>
      <c r="F17" s="308"/>
      <c r="G17" s="177">
        <f>(1/(1+WACC!D39)^(1))</f>
        <v>0.92614512818447325</v>
      </c>
      <c r="H17" s="177">
        <f>(1/(1+WACC!D39)^(2))</f>
        <v>0.85774479845983453</v>
      </c>
      <c r="I17" s="177">
        <f>(1/(1+WACC!D39)^(3))</f>
        <v>0.79439616631914867</v>
      </c>
      <c r="J17" s="177">
        <f>(1/(1+WACC!D39)^(4))</f>
        <v>0.73572613928490205</v>
      </c>
      <c r="K17" s="177">
        <f>(1/(1+WACC!D39)^(5))</f>
        <v>0.68138917957668332</v>
      </c>
      <c r="L17" s="161"/>
    </row>
    <row r="18" spans="1:12" x14ac:dyDescent="0.2">
      <c r="A18" s="319" t="s">
        <v>31</v>
      </c>
      <c r="B18" s="308"/>
      <c r="C18" s="308"/>
      <c r="D18" s="308"/>
      <c r="E18" s="308"/>
      <c r="F18" s="308"/>
      <c r="G18" s="178">
        <f>G14*G17</f>
        <v>88.269022017885163</v>
      </c>
      <c r="H18" s="178">
        <f>H14*H17</f>
        <v>327.25863723845191</v>
      </c>
      <c r="I18" s="178">
        <f>I14*I17</f>
        <v>246.19772103621546</v>
      </c>
      <c r="J18" s="178">
        <f>J14*J17</f>
        <v>234.69646116353596</v>
      </c>
      <c r="K18" s="178">
        <f>K14*K17</f>
        <v>225.03895903816718</v>
      </c>
      <c r="L18" s="176"/>
    </row>
    <row r="19" spans="1:12" x14ac:dyDescent="0.2">
      <c r="A19" s="317" t="s">
        <v>32</v>
      </c>
      <c r="B19" s="308"/>
      <c r="C19" s="308"/>
      <c r="D19" s="308"/>
      <c r="E19" s="308"/>
      <c r="F19" s="308"/>
      <c r="G19" s="308"/>
      <c r="H19" s="308"/>
      <c r="I19" s="308"/>
      <c r="J19" s="308"/>
      <c r="K19" s="308"/>
      <c r="L19" s="218">
        <f>SUM(G18:K18)</f>
        <v>1121.4608004942556</v>
      </c>
    </row>
    <row r="21" spans="1:12" x14ac:dyDescent="0.2">
      <c r="A21" s="316" t="s">
        <v>649</v>
      </c>
      <c r="B21" s="310"/>
      <c r="C21" s="310"/>
      <c r="D21" s="310"/>
      <c r="E21" s="310"/>
      <c r="F21" s="310"/>
      <c r="G21" s="310"/>
      <c r="H21" s="310"/>
      <c r="I21" s="310"/>
      <c r="J21" s="310"/>
      <c r="K21" s="310"/>
      <c r="L21" s="311"/>
    </row>
    <row r="22" spans="1:12" ht="16" customHeight="1" thickBot="1" x14ac:dyDescent="0.25">
      <c r="A22" s="321"/>
      <c r="B22" s="310"/>
      <c r="C22" s="310"/>
      <c r="D22" s="310"/>
      <c r="E22" s="310"/>
      <c r="F22" s="310"/>
      <c r="G22" s="310"/>
      <c r="H22" s="310"/>
      <c r="I22" s="310"/>
      <c r="J22" s="310"/>
      <c r="K22" s="310"/>
      <c r="L22" s="311"/>
    </row>
    <row r="23" spans="1:12" ht="26" customHeight="1" x14ac:dyDescent="0.2">
      <c r="A23" s="197" t="s">
        <v>34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9">
        <f>K11</f>
        <v>818.16693990599993</v>
      </c>
      <c r="L23" s="198"/>
    </row>
    <row r="24" spans="1:12" ht="26" customHeight="1" x14ac:dyDescent="0.2">
      <c r="A24" s="200" t="s">
        <v>35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11">
        <v>5</v>
      </c>
      <c r="L24" s="201"/>
    </row>
    <row r="25" spans="1:12" x14ac:dyDescent="0.2">
      <c r="A25" s="219" t="s">
        <v>36</v>
      </c>
      <c r="B25" s="220"/>
      <c r="C25" s="220"/>
      <c r="D25" s="220"/>
      <c r="E25" s="220"/>
      <c r="F25" s="220"/>
      <c r="G25" s="220"/>
      <c r="H25" s="220"/>
      <c r="I25" s="220"/>
      <c r="J25" s="220"/>
      <c r="K25" s="221">
        <f>K23*K24</f>
        <v>4090.8346995299999</v>
      </c>
      <c r="L25" s="220"/>
    </row>
    <row r="26" spans="1:12" x14ac:dyDescent="0.2">
      <c r="A26" s="200" t="s">
        <v>37</v>
      </c>
      <c r="B26" s="201"/>
      <c r="C26" s="201"/>
      <c r="D26" s="201"/>
      <c r="E26" s="201"/>
      <c r="F26" s="201"/>
      <c r="G26" s="201"/>
      <c r="H26" s="201"/>
      <c r="I26" s="201"/>
      <c r="J26" s="201"/>
      <c r="K26" s="202">
        <f>K17</f>
        <v>0.68138917957668332</v>
      </c>
      <c r="L26" s="201"/>
    </row>
    <row r="27" spans="1:12" ht="26" customHeight="1" x14ac:dyDescent="0.2">
      <c r="A27" s="219" t="s">
        <v>38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1">
        <f>K25*K26</f>
        <v>2787.4504996965743</v>
      </c>
      <c r="L27" s="220"/>
    </row>
    <row r="28" spans="1:12" ht="16" customHeight="1" thickBot="1" x14ac:dyDescent="0.25">
      <c r="A28" s="326"/>
      <c r="B28" s="310"/>
      <c r="C28" s="310"/>
      <c r="D28" s="310"/>
      <c r="E28" s="310"/>
      <c r="F28" s="310"/>
      <c r="G28" s="310"/>
      <c r="H28" s="310"/>
      <c r="I28" s="310"/>
      <c r="J28" s="310"/>
      <c r="K28" s="310"/>
      <c r="L28" s="311"/>
    </row>
    <row r="29" spans="1:12" ht="26" customHeight="1" x14ac:dyDescent="0.2">
      <c r="A29" s="203" t="s">
        <v>39</v>
      </c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5">
        <f>L19</f>
        <v>1121.4608004942556</v>
      </c>
    </row>
    <row r="30" spans="1:12" ht="26" customHeight="1" x14ac:dyDescent="0.2">
      <c r="A30" s="206" t="s">
        <v>40</v>
      </c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12">
        <f>K27</f>
        <v>2787.4504996965743</v>
      </c>
    </row>
    <row r="31" spans="1:12" x14ac:dyDescent="0.2">
      <c r="A31" s="222" t="s">
        <v>41</v>
      </c>
      <c r="B31" s="223"/>
      <c r="C31" s="223"/>
      <c r="D31" s="223"/>
      <c r="E31" s="223"/>
      <c r="F31" s="223"/>
      <c r="G31" s="223"/>
      <c r="H31" s="223"/>
      <c r="I31" s="223"/>
      <c r="J31" s="223"/>
      <c r="K31" s="223"/>
      <c r="L31" s="224">
        <f>L29+L30</f>
        <v>3908.9113001908299</v>
      </c>
    </row>
    <row r="32" spans="1:12" ht="39" customHeight="1" x14ac:dyDescent="0.2">
      <c r="A32" s="206" t="s">
        <v>42</v>
      </c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8">
        <v>-1850.65</v>
      </c>
    </row>
    <row r="33" spans="1:12" ht="26" customHeight="1" x14ac:dyDescent="0.2">
      <c r="A33" s="225" t="s">
        <v>43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6">
        <f>L31+L32</f>
        <v>2058.2613001908298</v>
      </c>
    </row>
    <row r="34" spans="1:12" x14ac:dyDescent="0.2">
      <c r="A34" s="206" t="s">
        <v>44</v>
      </c>
      <c r="B34" s="207"/>
      <c r="C34" s="207"/>
      <c r="D34" s="207"/>
      <c r="E34" s="207"/>
      <c r="F34" s="207"/>
      <c r="G34" s="207"/>
      <c r="H34" s="207"/>
      <c r="I34" s="207"/>
      <c r="J34" s="207"/>
      <c r="K34" s="207"/>
      <c r="L34" s="209">
        <v>240.54</v>
      </c>
    </row>
    <row r="35" spans="1:12" x14ac:dyDescent="0.2">
      <c r="A35" s="227" t="s">
        <v>45</v>
      </c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9">
        <f>L33/L34</f>
        <v>8.5568358700874274</v>
      </c>
    </row>
    <row r="36" spans="1:12" x14ac:dyDescent="0.2">
      <c r="A36" s="206" t="s">
        <v>46</v>
      </c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10">
        <v>17.899999999999999</v>
      </c>
    </row>
    <row r="37" spans="1:12" ht="26" customHeight="1" x14ac:dyDescent="0.2">
      <c r="A37" s="225" t="s">
        <v>47</v>
      </c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30">
        <f>(L35-L36)/L36</f>
        <v>-0.52196447653142863</v>
      </c>
    </row>
    <row r="40" spans="1:12" x14ac:dyDescent="0.2">
      <c r="A40" s="314" t="s">
        <v>48</v>
      </c>
      <c r="B40" s="310"/>
      <c r="C40" s="310"/>
      <c r="D40" s="310"/>
      <c r="E40" s="310"/>
      <c r="F40" s="310"/>
      <c r="G40" s="310"/>
      <c r="H40" s="310"/>
      <c r="I40" s="310"/>
      <c r="J40" s="310"/>
      <c r="K40" s="310"/>
      <c r="L40" s="311"/>
    </row>
    <row r="41" spans="1:12" ht="16" customHeight="1" thickBot="1" x14ac:dyDescent="0.25">
      <c r="A41" s="309"/>
      <c r="B41" s="310"/>
      <c r="C41" s="310"/>
      <c r="D41" s="310"/>
      <c r="E41" s="310"/>
      <c r="F41" s="310"/>
      <c r="G41" s="310"/>
      <c r="H41" s="310"/>
      <c r="I41" s="310"/>
      <c r="J41" s="310"/>
      <c r="K41" s="310"/>
      <c r="L41" s="311"/>
    </row>
    <row r="42" spans="1:12" x14ac:dyDescent="0.2">
      <c r="A42" s="244" t="s">
        <v>49</v>
      </c>
      <c r="B42" s="231"/>
      <c r="C42" s="231"/>
      <c r="D42" s="231"/>
      <c r="E42" s="231"/>
      <c r="F42" s="231"/>
      <c r="G42" s="231"/>
      <c r="H42" s="231"/>
      <c r="I42" s="231"/>
      <c r="J42" s="231"/>
      <c r="K42" s="232">
        <f>K14</f>
        <v>330.26494371098443</v>
      </c>
      <c r="L42" s="231"/>
    </row>
    <row r="43" spans="1:12" x14ac:dyDescent="0.2">
      <c r="A43" s="243" t="s">
        <v>50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7">
        <f>'FCF_Projections central'!K47</f>
        <v>5.9744382999999998E-2</v>
      </c>
      <c r="L43" s="233"/>
    </row>
    <row r="44" spans="1:12" x14ac:dyDescent="0.2">
      <c r="A44" s="246" t="s">
        <v>36</v>
      </c>
      <c r="B44" s="247"/>
      <c r="C44" s="247"/>
      <c r="D44" s="247"/>
      <c r="E44" s="247"/>
      <c r="F44" s="247"/>
      <c r="G44" s="247"/>
      <c r="H44" s="247"/>
      <c r="I44" s="247"/>
      <c r="J44" s="247"/>
      <c r="K44" s="248">
        <f>K42*((1.02)/(K43))</f>
        <v>5638.5257604083745</v>
      </c>
      <c r="L44" s="247"/>
    </row>
    <row r="45" spans="1:12" x14ac:dyDescent="0.2">
      <c r="A45" s="243" t="s">
        <v>37</v>
      </c>
      <c r="B45" s="233"/>
      <c r="C45" s="233"/>
      <c r="D45" s="233"/>
      <c r="E45" s="233"/>
      <c r="F45" s="233"/>
      <c r="G45" s="233"/>
      <c r="H45" s="233"/>
      <c r="I45" s="233"/>
      <c r="J45" s="233"/>
      <c r="K45" s="238">
        <f>K17</f>
        <v>0.68138917957668332</v>
      </c>
      <c r="L45" s="233"/>
    </row>
    <row r="46" spans="1:12" x14ac:dyDescent="0.2">
      <c r="A46" s="246" t="s">
        <v>38</v>
      </c>
      <c r="B46" s="247"/>
      <c r="C46" s="247"/>
      <c r="D46" s="247"/>
      <c r="E46" s="247"/>
      <c r="F46" s="247"/>
      <c r="G46" s="247"/>
      <c r="H46" s="247"/>
      <c r="I46" s="247"/>
      <c r="J46" s="247"/>
      <c r="K46" s="248">
        <f>K44*K45</f>
        <v>3842.030441906657</v>
      </c>
      <c r="L46" s="247"/>
    </row>
    <row r="47" spans="1:12" ht="16" customHeight="1" thickBot="1" x14ac:dyDescent="0.25">
      <c r="A47" s="315"/>
      <c r="B47" s="310"/>
      <c r="C47" s="310"/>
      <c r="D47" s="310"/>
      <c r="E47" s="310"/>
      <c r="F47" s="310"/>
      <c r="G47" s="310"/>
      <c r="H47" s="310"/>
      <c r="I47" s="310"/>
      <c r="J47" s="310"/>
      <c r="K47" s="310"/>
      <c r="L47" s="311"/>
    </row>
    <row r="48" spans="1:12" x14ac:dyDescent="0.2">
      <c r="A48" s="245" t="s">
        <v>51</v>
      </c>
      <c r="B48" s="239"/>
      <c r="C48" s="239"/>
      <c r="D48" s="239"/>
      <c r="E48" s="239"/>
      <c r="F48" s="239"/>
      <c r="G48" s="239"/>
      <c r="H48" s="239"/>
      <c r="I48" s="239"/>
      <c r="J48" s="239"/>
      <c r="K48" s="239"/>
      <c r="L48" s="240">
        <f>L29</f>
        <v>1121.4608004942556</v>
      </c>
    </row>
    <row r="49" spans="1:12" x14ac:dyDescent="0.2">
      <c r="A49" s="234" t="s">
        <v>40</v>
      </c>
      <c r="B49" s="235"/>
      <c r="C49" s="235"/>
      <c r="D49" s="235"/>
      <c r="E49" s="235"/>
      <c r="F49" s="235"/>
      <c r="G49" s="235"/>
      <c r="H49" s="235"/>
      <c r="I49" s="235"/>
      <c r="J49" s="235"/>
      <c r="K49" s="235"/>
      <c r="L49" s="236">
        <f>K46</f>
        <v>3842.030441906657</v>
      </c>
    </row>
    <row r="50" spans="1:12" x14ac:dyDescent="0.2">
      <c r="A50" s="249" t="s">
        <v>41</v>
      </c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1">
        <f>L48+L49</f>
        <v>4963.4912424009126</v>
      </c>
    </row>
    <row r="51" spans="1:12" x14ac:dyDescent="0.2">
      <c r="A51" s="245" t="s">
        <v>52</v>
      </c>
      <c r="B51" s="235"/>
      <c r="C51" s="235"/>
      <c r="D51" s="235"/>
      <c r="E51" s="235"/>
      <c r="F51" s="235"/>
      <c r="G51" s="235"/>
      <c r="H51" s="235"/>
      <c r="I51" s="235"/>
      <c r="J51" s="235"/>
      <c r="K51" s="235"/>
      <c r="L51" s="236">
        <f>L32</f>
        <v>-1850.65</v>
      </c>
    </row>
    <row r="52" spans="1:12" x14ac:dyDescent="0.2">
      <c r="A52" s="252" t="s">
        <v>53</v>
      </c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1">
        <f>L50+L51</f>
        <v>3112.8412424009125</v>
      </c>
    </row>
    <row r="53" spans="1:12" x14ac:dyDescent="0.2">
      <c r="A53" s="234" t="s">
        <v>44</v>
      </c>
      <c r="B53" s="235"/>
      <c r="C53" s="235"/>
      <c r="D53" s="235"/>
      <c r="E53" s="235"/>
      <c r="F53" s="235"/>
      <c r="G53" s="235"/>
      <c r="H53" s="235"/>
      <c r="I53" s="235"/>
      <c r="J53" s="235"/>
      <c r="K53" s="235"/>
      <c r="L53" s="241">
        <v>240.54</v>
      </c>
    </row>
    <row r="54" spans="1:12" x14ac:dyDescent="0.2">
      <c r="A54" s="253" t="s">
        <v>45</v>
      </c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4">
        <f>L52/L53</f>
        <v>12.941054470777885</v>
      </c>
    </row>
    <row r="55" spans="1:12" x14ac:dyDescent="0.2">
      <c r="A55" s="234" t="s">
        <v>54</v>
      </c>
      <c r="B55" s="235"/>
      <c r="C55" s="235"/>
      <c r="D55" s="235"/>
      <c r="E55" s="235"/>
      <c r="F55" s="235"/>
      <c r="G55" s="235"/>
      <c r="H55" s="235"/>
      <c r="I55" s="235"/>
      <c r="J55" s="235"/>
      <c r="K55" s="235"/>
      <c r="L55" s="242">
        <v>17.899999999999999</v>
      </c>
    </row>
    <row r="56" spans="1:12" x14ac:dyDescent="0.2">
      <c r="A56" s="249" t="s">
        <v>47</v>
      </c>
      <c r="B56" s="250"/>
      <c r="C56" s="250"/>
      <c r="D56" s="250"/>
      <c r="E56" s="250"/>
      <c r="F56" s="250"/>
      <c r="G56" s="250"/>
      <c r="H56" s="250"/>
      <c r="I56" s="250"/>
      <c r="J56" s="250"/>
      <c r="K56" s="250"/>
      <c r="L56" s="255">
        <f>(L54-L55)/L55</f>
        <v>-0.27703606308503426</v>
      </c>
    </row>
    <row r="58" spans="1:12" x14ac:dyDescent="0.2">
      <c r="A58" s="277" t="s">
        <v>559</v>
      </c>
      <c r="B58" s="277" t="s">
        <v>630</v>
      </c>
      <c r="C58" s="277" t="s">
        <v>560</v>
      </c>
      <c r="D58" s="278" t="s">
        <v>631</v>
      </c>
      <c r="E58" s="277" t="s">
        <v>561</v>
      </c>
      <c r="F58" s="277" t="s">
        <v>549</v>
      </c>
    </row>
    <row r="59" spans="1:12" x14ac:dyDescent="0.2">
      <c r="A59" s="279" t="s">
        <v>59</v>
      </c>
      <c r="B59" s="274">
        <v>6.68</v>
      </c>
      <c r="C59" s="274">
        <v>7.91</v>
      </c>
      <c r="D59" s="275">
        <v>9.1300000000000008</v>
      </c>
      <c r="E59" s="274">
        <v>10.35</v>
      </c>
      <c r="F59" s="274">
        <v>11.57</v>
      </c>
    </row>
    <row r="60" spans="1:12" x14ac:dyDescent="0.2">
      <c r="A60" s="279" t="s">
        <v>60</v>
      </c>
      <c r="B60" s="274">
        <v>6.39</v>
      </c>
      <c r="C60" s="274">
        <v>7.58</v>
      </c>
      <c r="D60" s="275">
        <v>8.7799999999999994</v>
      </c>
      <c r="E60" s="274">
        <v>9.9700000000000006</v>
      </c>
      <c r="F60" s="274">
        <v>11.16</v>
      </c>
    </row>
    <row r="61" spans="1:12" x14ac:dyDescent="0.2">
      <c r="A61" s="278" t="s">
        <v>627</v>
      </c>
      <c r="B61" s="275">
        <v>6.1</v>
      </c>
      <c r="C61" s="275">
        <v>7.27</v>
      </c>
      <c r="D61" s="276">
        <v>8.52</v>
      </c>
      <c r="E61" s="275">
        <v>9.6</v>
      </c>
      <c r="F61" s="275">
        <v>10.77</v>
      </c>
    </row>
    <row r="62" spans="1:12" x14ac:dyDescent="0.2">
      <c r="A62" s="279" t="s">
        <v>628</v>
      </c>
      <c r="B62" s="274">
        <v>5.82</v>
      </c>
      <c r="C62" s="274">
        <v>6.96</v>
      </c>
      <c r="D62" s="275">
        <v>8.1</v>
      </c>
      <c r="E62" s="274">
        <v>9.24</v>
      </c>
      <c r="F62" s="274">
        <v>10.38</v>
      </c>
    </row>
    <row r="63" spans="1:12" x14ac:dyDescent="0.2">
      <c r="A63" s="279" t="s">
        <v>629</v>
      </c>
      <c r="B63" s="274">
        <v>5.55</v>
      </c>
      <c r="C63" s="274">
        <v>6.67</v>
      </c>
      <c r="D63" s="275">
        <v>7.78</v>
      </c>
      <c r="E63" s="274">
        <v>8.89</v>
      </c>
      <c r="F63" s="274">
        <v>10.01</v>
      </c>
    </row>
    <row r="65" spans="1:6" x14ac:dyDescent="0.2">
      <c r="A65" s="277" t="s">
        <v>553</v>
      </c>
      <c r="B65" s="277" t="s">
        <v>554</v>
      </c>
      <c r="C65" s="277" t="s">
        <v>555</v>
      </c>
      <c r="D65" s="278" t="s">
        <v>556</v>
      </c>
      <c r="E65" s="277" t="s">
        <v>557</v>
      </c>
      <c r="F65" s="277" t="s">
        <v>558</v>
      </c>
    </row>
    <row r="66" spans="1:6" x14ac:dyDescent="0.2">
      <c r="A66" s="279" t="s">
        <v>59</v>
      </c>
      <c r="B66" s="274">
        <v>13.74</v>
      </c>
      <c r="C66" s="274">
        <v>15.36</v>
      </c>
      <c r="D66" s="275">
        <v>17.32</v>
      </c>
      <c r="E66" s="274">
        <v>19.71</v>
      </c>
      <c r="F66" s="274">
        <v>22.71</v>
      </c>
    </row>
    <row r="67" spans="1:6" x14ac:dyDescent="0.2">
      <c r="A67" s="279" t="s">
        <v>60</v>
      </c>
      <c r="B67" s="274">
        <v>12.01</v>
      </c>
      <c r="C67" s="274">
        <v>13.36</v>
      </c>
      <c r="D67" s="275">
        <v>14.96</v>
      </c>
      <c r="E67" s="274">
        <v>16.88</v>
      </c>
      <c r="F67" s="274">
        <v>19.23</v>
      </c>
    </row>
    <row r="68" spans="1:6" x14ac:dyDescent="0.2">
      <c r="A68" s="278" t="s">
        <v>627</v>
      </c>
      <c r="B68" s="275">
        <v>10.53</v>
      </c>
      <c r="C68" s="275">
        <v>11.67</v>
      </c>
      <c r="D68" s="276">
        <v>12.91</v>
      </c>
      <c r="E68" s="275">
        <v>14.56</v>
      </c>
      <c r="F68" s="275">
        <v>16.45</v>
      </c>
    </row>
    <row r="69" spans="1:6" x14ac:dyDescent="0.2">
      <c r="A69" s="279" t="s">
        <v>628</v>
      </c>
      <c r="B69" s="274">
        <v>9.25</v>
      </c>
      <c r="C69" s="274">
        <v>10.220000000000001</v>
      </c>
      <c r="D69" s="275">
        <v>11.33</v>
      </c>
      <c r="E69" s="274">
        <v>12.63</v>
      </c>
      <c r="F69" s="274">
        <v>14.17</v>
      </c>
    </row>
    <row r="70" spans="1:6" x14ac:dyDescent="0.2">
      <c r="A70" s="279" t="s">
        <v>629</v>
      </c>
      <c r="B70" s="274">
        <v>8.1300000000000008</v>
      </c>
      <c r="C70" s="274">
        <v>8.9600000000000009</v>
      </c>
      <c r="D70" s="275">
        <v>9.91</v>
      </c>
      <c r="E70" s="274">
        <v>11</v>
      </c>
      <c r="F70" s="274">
        <v>12.28</v>
      </c>
    </row>
  </sheetData>
  <mergeCells count="13">
    <mergeCell ref="A47:L47"/>
    <mergeCell ref="A1:L1"/>
    <mergeCell ref="A21:L21"/>
    <mergeCell ref="A16:F16"/>
    <mergeCell ref="A15:L15"/>
    <mergeCell ref="A18:F18"/>
    <mergeCell ref="A22:L22"/>
    <mergeCell ref="A2:L2"/>
    <mergeCell ref="A28:L28"/>
    <mergeCell ref="A40:L40"/>
    <mergeCell ref="A41:L41"/>
    <mergeCell ref="A17:F17"/>
    <mergeCell ref="A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89"/>
  <sheetViews>
    <sheetView topLeftCell="A51" zoomScale="159" workbookViewId="0">
      <selection activeCell="A70" sqref="A70"/>
    </sheetView>
  </sheetViews>
  <sheetFormatPr baseColWidth="10" defaultRowHeight="15" x14ac:dyDescent="0.2"/>
  <cols>
    <col min="1" max="1" width="19.5" customWidth="1"/>
    <col min="2" max="7" width="13" customWidth="1"/>
    <col min="12" max="12" width="11.83203125" customWidth="1"/>
  </cols>
  <sheetData>
    <row r="1" spans="1:12" ht="17" customHeight="1" x14ac:dyDescent="0.2">
      <c r="A1" s="307" t="s">
        <v>647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</row>
    <row r="2" spans="1:12" x14ac:dyDescent="0.2">
      <c r="A2" s="31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</row>
    <row r="3" spans="1:12" ht="14" customHeight="1" x14ac:dyDescent="0.2">
      <c r="A3" s="213" t="s">
        <v>1</v>
      </c>
      <c r="B3" s="213" t="s">
        <v>2</v>
      </c>
      <c r="C3" s="213" t="s">
        <v>3</v>
      </c>
      <c r="D3" s="213" t="s">
        <v>4</v>
      </c>
      <c r="E3" s="213" t="s">
        <v>5</v>
      </c>
      <c r="F3" s="213" t="s">
        <v>6</v>
      </c>
      <c r="G3" s="213" t="s">
        <v>7</v>
      </c>
      <c r="H3" s="213" t="s">
        <v>8</v>
      </c>
      <c r="I3" s="213" t="s">
        <v>9</v>
      </c>
      <c r="J3" s="213" t="s">
        <v>10</v>
      </c>
      <c r="K3" s="213" t="s">
        <v>11</v>
      </c>
      <c r="L3" s="213" t="s">
        <v>12</v>
      </c>
    </row>
    <row r="4" spans="1:12" x14ac:dyDescent="0.2">
      <c r="A4" s="159" t="s">
        <v>13</v>
      </c>
      <c r="B4" s="160">
        <f>'P&amp;L'!B9</f>
        <v>3963.3100000000009</v>
      </c>
      <c r="C4" s="160">
        <f>'P&amp;L'!C9</f>
        <v>4155.1970000000001</v>
      </c>
      <c r="D4" s="160">
        <f>'P&amp;L'!D9</f>
        <v>3875.7</v>
      </c>
      <c r="E4" s="160">
        <f>'P&amp;L'!E9</f>
        <v>3496</v>
      </c>
      <c r="F4" s="160">
        <f>'P&amp;L'!F9</f>
        <v>3609</v>
      </c>
      <c r="G4" s="160">
        <f>Projections!G76</f>
        <v>3822.1759999999999</v>
      </c>
      <c r="H4" s="160">
        <f>Projections!H76</f>
        <v>4146.9809999999998</v>
      </c>
      <c r="I4" s="160">
        <f>Projections!I76</f>
        <v>4638.5520999999999</v>
      </c>
      <c r="J4" s="160">
        <f>Projections!J76</f>
        <v>5055.1555019999996</v>
      </c>
      <c r="K4" s="160">
        <f>Projections!K76</f>
        <v>5413.9555959099998</v>
      </c>
      <c r="L4" s="161"/>
    </row>
    <row r="5" spans="1:12" x14ac:dyDescent="0.2">
      <c r="A5" s="162" t="s">
        <v>14</v>
      </c>
      <c r="B5" s="163" t="s">
        <v>15</v>
      </c>
      <c r="C5" s="164">
        <f t="shared" ref="C5:K5" si="0">IFERROR(C4/B4-1,"na")</f>
        <v>4.8415844332136304E-2</v>
      </c>
      <c r="D5" s="165">
        <f t="shared" si="0"/>
        <v>-6.7264440169744089E-2</v>
      </c>
      <c r="E5" s="165">
        <f t="shared" si="0"/>
        <v>-9.7969399076295871E-2</v>
      </c>
      <c r="F5" s="164">
        <f t="shared" si="0"/>
        <v>3.2322654462242584E-2</v>
      </c>
      <c r="G5" s="256">
        <f t="shared" si="0"/>
        <v>5.9067885840953238E-2</v>
      </c>
      <c r="H5" s="256">
        <f t="shared" si="0"/>
        <v>8.497907997957177E-2</v>
      </c>
      <c r="I5" s="164">
        <f t="shared" si="0"/>
        <v>0.11853709963947279</v>
      </c>
      <c r="J5" s="164">
        <f t="shared" si="0"/>
        <v>8.9813241938146993E-2</v>
      </c>
      <c r="K5" s="164">
        <f t="shared" si="0"/>
        <v>7.0977063666596729E-2</v>
      </c>
      <c r="L5" s="166"/>
    </row>
    <row r="6" spans="1:12" x14ac:dyDescent="0.2">
      <c r="A6" s="313"/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</row>
    <row r="7" spans="1:12" x14ac:dyDescent="0.2">
      <c r="A7" s="167" t="s">
        <v>16</v>
      </c>
      <c r="B7" s="168">
        <f>'P&amp;L'!B48</f>
        <v>971.38200000000006</v>
      </c>
      <c r="C7" s="168">
        <f>'P&amp;L'!C48</f>
        <v>864.67699999999991</v>
      </c>
      <c r="D7" s="168">
        <f>'P&amp;L'!D48</f>
        <v>673.45900000000006</v>
      </c>
      <c r="E7" s="168">
        <f>'P&amp;L'!E48</f>
        <v>478.5</v>
      </c>
      <c r="F7" s="168">
        <f>'P&amp;L'!F48</f>
        <v>579</v>
      </c>
      <c r="G7" s="168">
        <f>Projections!G134</f>
        <v>670.40847000000008</v>
      </c>
      <c r="H7" s="168">
        <f>Projections!H134</f>
        <v>780.651385</v>
      </c>
      <c r="I7" s="168">
        <f>Projections!I134</f>
        <v>933.75733500000001</v>
      </c>
      <c r="J7" s="168">
        <f>Projections!J134</f>
        <v>1077.6051067199999</v>
      </c>
      <c r="K7" s="168">
        <f>Projections!K134</f>
        <v>1196.2371769191998</v>
      </c>
      <c r="L7" s="161"/>
    </row>
    <row r="8" spans="1:12" x14ac:dyDescent="0.2">
      <c r="A8" s="162" t="s">
        <v>17</v>
      </c>
      <c r="B8" s="164">
        <f t="shared" ref="B8:K8" si="1">B7/B4</f>
        <v>0.24509362124083148</v>
      </c>
      <c r="C8" s="164">
        <f t="shared" si="1"/>
        <v>0.20809530811655857</v>
      </c>
      <c r="D8" s="164">
        <f t="shared" si="1"/>
        <v>0.17376448125499913</v>
      </c>
      <c r="E8" s="164">
        <f t="shared" si="1"/>
        <v>0.13687070938215104</v>
      </c>
      <c r="F8" s="164">
        <f t="shared" si="1"/>
        <v>0.16043225270157938</v>
      </c>
      <c r="G8" s="164">
        <f t="shared" si="1"/>
        <v>0.17539968593806254</v>
      </c>
      <c r="H8" s="164">
        <f t="shared" si="1"/>
        <v>0.18824571055425623</v>
      </c>
      <c r="I8" s="164">
        <f t="shared" si="1"/>
        <v>0.20130362123128898</v>
      </c>
      <c r="J8" s="164">
        <f t="shared" si="1"/>
        <v>0.21316952689064875</v>
      </c>
      <c r="K8" s="164">
        <f t="shared" si="1"/>
        <v>0.22095437535965445</v>
      </c>
      <c r="L8" s="166"/>
    </row>
    <row r="9" spans="1:12" x14ac:dyDescent="0.2">
      <c r="A9" s="162" t="s">
        <v>18</v>
      </c>
      <c r="B9" s="164">
        <f>'P&amp;L'!B74</f>
        <v>0.24399999999999999</v>
      </c>
      <c r="C9" s="164">
        <f>'P&amp;L'!C74</f>
        <v>0.20399999999999999</v>
      </c>
      <c r="D9" s="164">
        <f>'P&amp;L'!D74</f>
        <v>0.252</v>
      </c>
      <c r="E9" s="164">
        <f>'P&amp;L'!E74</f>
        <v>0.29199999999999998</v>
      </c>
      <c r="F9" s="164">
        <f>'P&amp;L'!F74</f>
        <v>0.26100000000000001</v>
      </c>
      <c r="G9" s="164">
        <v>0.25</v>
      </c>
      <c r="H9" s="164">
        <v>0.25</v>
      </c>
      <c r="I9" s="164">
        <v>0.25</v>
      </c>
      <c r="J9" s="164">
        <v>0.25</v>
      </c>
      <c r="K9" s="164">
        <v>0.25</v>
      </c>
      <c r="L9" s="166"/>
    </row>
    <row r="10" spans="1:12" x14ac:dyDescent="0.2">
      <c r="A10" s="214" t="s">
        <v>645</v>
      </c>
      <c r="B10" s="215">
        <f t="shared" ref="B10:K10" si="2">B7*(1-B9)</f>
        <v>734.36479200000008</v>
      </c>
      <c r="C10" s="215">
        <f t="shared" si="2"/>
        <v>688.28289199999995</v>
      </c>
      <c r="D10" s="215">
        <f t="shared" si="2"/>
        <v>503.74733200000003</v>
      </c>
      <c r="E10" s="215">
        <f t="shared" si="2"/>
        <v>338.77799999999996</v>
      </c>
      <c r="F10" s="215">
        <f t="shared" si="2"/>
        <v>427.88099999999997</v>
      </c>
      <c r="G10" s="215">
        <f t="shared" si="2"/>
        <v>502.80635250000006</v>
      </c>
      <c r="H10" s="215">
        <f t="shared" si="2"/>
        <v>585.48853874999998</v>
      </c>
      <c r="I10" s="215">
        <f t="shared" si="2"/>
        <v>700.31800124999995</v>
      </c>
      <c r="J10" s="215">
        <f t="shared" si="2"/>
        <v>808.20383003999996</v>
      </c>
      <c r="K10" s="215">
        <f t="shared" si="2"/>
        <v>897.17788268939989</v>
      </c>
      <c r="L10" s="216"/>
    </row>
    <row r="11" spans="1:12" x14ac:dyDescent="0.2">
      <c r="A11" s="313"/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308"/>
    </row>
    <row r="12" spans="1:12" x14ac:dyDescent="0.2">
      <c r="A12" s="159" t="s">
        <v>20</v>
      </c>
      <c r="B12" s="160">
        <f>-'P&amp;L'!B32</f>
        <v>279.53499999999997</v>
      </c>
      <c r="C12" s="160">
        <f>-'P&amp;L'!C32</f>
        <v>285.93200000000002</v>
      </c>
      <c r="D12" s="160">
        <f>-'P&amp;L'!D32</f>
        <v>298.59999999999997</v>
      </c>
      <c r="E12" s="160">
        <f>-'P&amp;L'!E32</f>
        <v>285.3</v>
      </c>
      <c r="F12" s="160">
        <f>-'P&amp;L'!F32</f>
        <v>267.7</v>
      </c>
      <c r="G12" s="160">
        <f>Projections!G181</f>
        <v>275.07</v>
      </c>
      <c r="H12" s="160">
        <f>Projections!H181</f>
        <v>290.56299999999999</v>
      </c>
      <c r="I12" s="160">
        <f>Projections!I181</f>
        <v>305.50669999999997</v>
      </c>
      <c r="J12" s="160">
        <f>Projections!J181</f>
        <v>320.95603</v>
      </c>
      <c r="K12" s="160">
        <f>Projections!K181</f>
        <v>335.86042700000002</v>
      </c>
      <c r="L12" s="161"/>
    </row>
    <row r="13" spans="1:12" x14ac:dyDescent="0.2">
      <c r="A13" s="159" t="s">
        <v>21</v>
      </c>
      <c r="B13" s="160">
        <f t="shared" ref="B13:K13" si="3">B7+B12</f>
        <v>1250.9169999999999</v>
      </c>
      <c r="C13" s="160">
        <f t="shared" si="3"/>
        <v>1150.6089999999999</v>
      </c>
      <c r="D13" s="160">
        <f t="shared" si="3"/>
        <v>972.05899999999997</v>
      </c>
      <c r="E13" s="160">
        <f t="shared" si="3"/>
        <v>763.8</v>
      </c>
      <c r="F13" s="160">
        <f t="shared" si="3"/>
        <v>846.7</v>
      </c>
      <c r="G13" s="160">
        <f t="shared" si="3"/>
        <v>945.47847000000002</v>
      </c>
      <c r="H13" s="160">
        <f t="shared" si="3"/>
        <v>1071.214385</v>
      </c>
      <c r="I13" s="160">
        <f t="shared" si="3"/>
        <v>1239.2640349999999</v>
      </c>
      <c r="J13" s="160">
        <f t="shared" si="3"/>
        <v>1398.5611367199999</v>
      </c>
      <c r="K13" s="160">
        <f t="shared" si="3"/>
        <v>1532.0976039191999</v>
      </c>
      <c r="L13" s="161"/>
    </row>
    <row r="14" spans="1:12" x14ac:dyDescent="0.2">
      <c r="A14" s="162" t="s">
        <v>22</v>
      </c>
      <c r="B14" s="169">
        <f>Projections!B188</f>
        <v>388.59700000000004</v>
      </c>
      <c r="C14" s="169">
        <f>Projections!C188</f>
        <v>469.6</v>
      </c>
      <c r="D14" s="169">
        <f>Projections!D188</f>
        <v>857.00000000000011</v>
      </c>
      <c r="E14" s="169">
        <f>Projections!E188</f>
        <v>554.70000000000005</v>
      </c>
      <c r="F14" s="169">
        <f>Projections!F188</f>
        <v>308.89999999999998</v>
      </c>
      <c r="G14" s="169">
        <f>Projections!G195</f>
        <v>430</v>
      </c>
      <c r="H14" s="169">
        <f>Projections!H195</f>
        <v>440</v>
      </c>
      <c r="I14" s="169">
        <f>Projections!I195</f>
        <v>460</v>
      </c>
      <c r="J14" s="169">
        <f>Projections!J195</f>
        <v>470</v>
      </c>
      <c r="K14" s="169">
        <f>Projections!K195</f>
        <v>470</v>
      </c>
      <c r="L14" s="166"/>
    </row>
    <row r="15" spans="1:12" x14ac:dyDescent="0.2">
      <c r="A15" s="170" t="s">
        <v>23</v>
      </c>
      <c r="B15" s="171">
        <v>-127.584</v>
      </c>
      <c r="C15" s="171">
        <v>221.00299999999999</v>
      </c>
      <c r="D15" s="171">
        <v>-497.94099999999997</v>
      </c>
      <c r="E15" s="171">
        <v>-977.2</v>
      </c>
      <c r="F15" s="171">
        <v>196.5</v>
      </c>
      <c r="G15" s="172">
        <f>Projections!G250</f>
        <v>245.76645237464891</v>
      </c>
      <c r="H15" s="172">
        <f>Projections!H250</f>
        <v>16.565701169329714</v>
      </c>
      <c r="I15" s="172">
        <f>Projections!I250</f>
        <v>25.071104034970631</v>
      </c>
      <c r="J15" s="172">
        <f>Projections!J250</f>
        <v>21.247602295710294</v>
      </c>
      <c r="K15" s="172">
        <f>Projections!K250</f>
        <v>18.299518588816682</v>
      </c>
      <c r="L15" s="161"/>
    </row>
    <row r="16" spans="1:12" x14ac:dyDescent="0.2">
      <c r="A16" s="173" t="s">
        <v>24</v>
      </c>
      <c r="B16" s="174">
        <v>752.88679999999999</v>
      </c>
      <c r="C16" s="174">
        <v>283.61189999999999</v>
      </c>
      <c r="D16" s="174">
        <v>443.28829999999999</v>
      </c>
      <c r="E16" s="174">
        <v>1046.578</v>
      </c>
      <c r="F16" s="174">
        <v>190.18100000000001</v>
      </c>
      <c r="G16" s="175">
        <f>G10+G12-G14-G15</f>
        <v>102.10990012535115</v>
      </c>
      <c r="H16" s="175">
        <f>H10+H12-H14-H15</f>
        <v>419.48583758067025</v>
      </c>
      <c r="I16" s="175">
        <f>I10+I12-I14-I15</f>
        <v>520.75359721502923</v>
      </c>
      <c r="J16" s="175">
        <f>J10+J12-J14-J15</f>
        <v>637.91225774428972</v>
      </c>
      <c r="K16" s="175">
        <f>K10+K12-K14-K15</f>
        <v>744.73879110058328</v>
      </c>
      <c r="L16" s="176"/>
    </row>
    <row r="17" spans="1:12" ht="1" customHeight="1" x14ac:dyDescent="0.2">
      <c r="A17" s="313"/>
      <c r="B17" s="308"/>
      <c r="C17" s="308"/>
      <c r="D17" s="308"/>
      <c r="E17" s="308"/>
      <c r="F17" s="308"/>
      <c r="G17" s="308"/>
      <c r="H17" s="308"/>
      <c r="I17" s="308"/>
      <c r="J17" s="308"/>
      <c r="K17" s="308"/>
      <c r="L17" s="308"/>
    </row>
    <row r="18" spans="1:12" x14ac:dyDescent="0.2">
      <c r="A18" s="317"/>
      <c r="B18" s="308"/>
      <c r="C18" s="308"/>
      <c r="D18" s="308"/>
      <c r="E18" s="308"/>
      <c r="F18" s="308"/>
      <c r="G18" s="213" t="s">
        <v>25</v>
      </c>
      <c r="H18" s="213" t="s">
        <v>26</v>
      </c>
      <c r="I18" s="213" t="s">
        <v>27</v>
      </c>
      <c r="J18" s="213" t="s">
        <v>28</v>
      </c>
      <c r="K18" s="213" t="s">
        <v>29</v>
      </c>
      <c r="L18" s="217"/>
    </row>
    <row r="19" spans="1:12" x14ac:dyDescent="0.2">
      <c r="A19" s="320" t="s">
        <v>30</v>
      </c>
      <c r="B19" s="308"/>
      <c r="C19" s="308"/>
      <c r="D19" s="308"/>
      <c r="E19" s="308"/>
      <c r="F19" s="308"/>
      <c r="G19" s="177">
        <f>(1/(1+WACC!D39)^(1))</f>
        <v>0.92614512818447325</v>
      </c>
      <c r="H19" s="177">
        <f>(1/(1+WACC!D39)^(2))</f>
        <v>0.85774479845983453</v>
      </c>
      <c r="I19" s="177">
        <f>(1/(1+WACC!D39)^(3))</f>
        <v>0.79439616631914867</v>
      </c>
      <c r="J19" s="177">
        <f>(1/(1+WACC!D39)^(4))</f>
        <v>0.73572613928490205</v>
      </c>
      <c r="K19" s="177">
        <f>(1/(1+WACC!D39)^(5))</f>
        <v>0.68138917957668332</v>
      </c>
      <c r="L19" s="161"/>
    </row>
    <row r="20" spans="1:12" x14ac:dyDescent="0.2">
      <c r="A20" s="319" t="s">
        <v>31</v>
      </c>
      <c r="B20" s="308"/>
      <c r="C20" s="308"/>
      <c r="D20" s="308"/>
      <c r="E20" s="308"/>
      <c r="F20" s="308"/>
      <c r="G20" s="178">
        <f>G16*G19</f>
        <v>94.568586540497094</v>
      </c>
      <c r="H20" s="178">
        <f>H16*H19</f>
        <v>359.81179521238687</v>
      </c>
      <c r="I20" s="178">
        <f>I16*I19</f>
        <v>413.68466122452531</v>
      </c>
      <c r="J20" s="178">
        <f>J16*J19</f>
        <v>469.32872259272165</v>
      </c>
      <c r="K20" s="178">
        <f>K16*K19</f>
        <v>507.45695386695741</v>
      </c>
      <c r="L20" s="176"/>
    </row>
    <row r="21" spans="1:12" x14ac:dyDescent="0.2">
      <c r="A21" s="317" t="s">
        <v>32</v>
      </c>
      <c r="B21" s="308"/>
      <c r="C21" s="308"/>
      <c r="D21" s="308"/>
      <c r="E21" s="308"/>
      <c r="F21" s="308"/>
      <c r="G21" s="308"/>
      <c r="H21" s="308"/>
      <c r="I21" s="308"/>
      <c r="J21" s="308"/>
      <c r="K21" s="308"/>
      <c r="L21" s="218">
        <f>SUM(G20:K20)</f>
        <v>1844.8507194370886</v>
      </c>
    </row>
    <row r="24" spans="1:12" x14ac:dyDescent="0.2">
      <c r="A24" s="316" t="s">
        <v>33</v>
      </c>
      <c r="B24" s="310"/>
      <c r="C24" s="310"/>
      <c r="D24" s="310"/>
      <c r="E24" s="310"/>
      <c r="F24" s="310"/>
      <c r="G24" s="310"/>
      <c r="H24" s="310"/>
      <c r="I24" s="310"/>
      <c r="J24" s="310"/>
      <c r="K24" s="310"/>
      <c r="L24" s="311"/>
    </row>
    <row r="25" spans="1:12" ht="16" customHeight="1" thickBot="1" x14ac:dyDescent="0.25">
      <c r="A25" s="321"/>
      <c r="B25" s="310"/>
      <c r="C25" s="310"/>
      <c r="D25" s="310"/>
      <c r="E25" s="310"/>
      <c r="F25" s="310"/>
      <c r="G25" s="310"/>
      <c r="H25" s="310"/>
      <c r="I25" s="310"/>
      <c r="J25" s="310"/>
      <c r="K25" s="310"/>
      <c r="L25" s="311"/>
    </row>
    <row r="26" spans="1:12" ht="39" customHeight="1" x14ac:dyDescent="0.2">
      <c r="A26" s="197" t="s">
        <v>34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9">
        <f>K13</f>
        <v>1532.0976039191999</v>
      </c>
      <c r="L26" s="198"/>
    </row>
    <row r="27" spans="1:12" ht="39" customHeight="1" x14ac:dyDescent="0.2">
      <c r="A27" s="200" t="s">
        <v>35</v>
      </c>
      <c r="B27" s="201"/>
      <c r="C27" s="201"/>
      <c r="D27" s="201"/>
      <c r="E27" s="201"/>
      <c r="F27" s="201"/>
      <c r="G27" s="201"/>
      <c r="H27" s="201"/>
      <c r="I27" s="201"/>
      <c r="J27" s="201"/>
      <c r="K27" s="211">
        <v>9</v>
      </c>
      <c r="L27" s="201"/>
    </row>
    <row r="28" spans="1:12" ht="26" customHeight="1" x14ac:dyDescent="0.2">
      <c r="A28" s="219" t="s">
        <v>36</v>
      </c>
      <c r="B28" s="220"/>
      <c r="C28" s="220"/>
      <c r="D28" s="220"/>
      <c r="E28" s="220"/>
      <c r="F28" s="220"/>
      <c r="G28" s="220"/>
      <c r="H28" s="220"/>
      <c r="I28" s="220"/>
      <c r="J28" s="220"/>
      <c r="K28" s="221">
        <f>K26*K27</f>
        <v>13788.878435272798</v>
      </c>
      <c r="L28" s="220"/>
    </row>
    <row r="29" spans="1:12" ht="26" customHeight="1" x14ac:dyDescent="0.2">
      <c r="A29" s="200" t="s">
        <v>37</v>
      </c>
      <c r="B29" s="201"/>
      <c r="C29" s="201"/>
      <c r="D29" s="201"/>
      <c r="E29" s="201"/>
      <c r="F29" s="201"/>
      <c r="G29" s="201"/>
      <c r="H29" s="201"/>
      <c r="I29" s="201"/>
      <c r="J29" s="201"/>
      <c r="K29" s="202">
        <f>K19</f>
        <v>0.68138917957668332</v>
      </c>
      <c r="L29" s="201"/>
    </row>
    <row r="30" spans="1:12" ht="26" customHeight="1" x14ac:dyDescent="0.2">
      <c r="A30" s="219" t="s">
        <v>38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1">
        <f>K28*K29</f>
        <v>9395.5925642931525</v>
      </c>
      <c r="L30" s="220"/>
    </row>
    <row r="31" spans="1:12" ht="16" customHeight="1" thickBot="1" x14ac:dyDescent="0.25">
      <c r="A31" s="326"/>
      <c r="B31" s="310"/>
      <c r="C31" s="310"/>
      <c r="D31" s="310"/>
      <c r="E31" s="310"/>
      <c r="F31" s="310"/>
      <c r="G31" s="310"/>
      <c r="H31" s="310"/>
      <c r="I31" s="310"/>
      <c r="J31" s="310"/>
      <c r="K31" s="310"/>
      <c r="L31" s="311"/>
    </row>
    <row r="32" spans="1:12" ht="39" customHeight="1" x14ac:dyDescent="0.2">
      <c r="A32" s="203" t="s">
        <v>39</v>
      </c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5">
        <f>L21</f>
        <v>1844.8507194370886</v>
      </c>
    </row>
    <row r="33" spans="1:12" ht="39" customHeight="1" x14ac:dyDescent="0.2">
      <c r="A33" s="206" t="s">
        <v>40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12">
        <f>K30</f>
        <v>9395.5925642931525</v>
      </c>
    </row>
    <row r="34" spans="1:12" ht="26" customHeight="1" x14ac:dyDescent="0.2">
      <c r="A34" s="222" t="s">
        <v>41</v>
      </c>
      <c r="B34" s="223"/>
      <c r="C34" s="223"/>
      <c r="D34" s="223"/>
      <c r="E34" s="223"/>
      <c r="F34" s="223"/>
      <c r="G34" s="223"/>
      <c r="H34" s="223"/>
      <c r="I34" s="223"/>
      <c r="J34" s="223"/>
      <c r="K34" s="223"/>
      <c r="L34" s="224">
        <f>L32+L33</f>
        <v>11240.443283730241</v>
      </c>
    </row>
    <row r="35" spans="1:12" ht="52" customHeight="1" x14ac:dyDescent="0.2">
      <c r="A35" s="206" t="s">
        <v>42</v>
      </c>
      <c r="B35" s="207"/>
      <c r="C35" s="207"/>
      <c r="D35" s="207"/>
      <c r="E35" s="207"/>
      <c r="F35" s="207"/>
      <c r="G35" s="207"/>
      <c r="H35" s="207"/>
      <c r="I35" s="207"/>
      <c r="J35" s="207"/>
      <c r="K35" s="207"/>
      <c r="L35" s="208">
        <v>-1850.65</v>
      </c>
    </row>
    <row r="36" spans="1:12" ht="26" customHeight="1" x14ac:dyDescent="0.2">
      <c r="A36" s="225" t="s">
        <v>43</v>
      </c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L36" s="226">
        <f>L34+L35</f>
        <v>9389.7932837302415</v>
      </c>
    </row>
    <row r="37" spans="1:12" ht="26" customHeight="1" x14ac:dyDescent="0.2">
      <c r="A37" s="206" t="s">
        <v>44</v>
      </c>
      <c r="B37" s="207"/>
      <c r="C37" s="207"/>
      <c r="D37" s="207"/>
      <c r="E37" s="207"/>
      <c r="F37" s="207"/>
      <c r="G37" s="207"/>
      <c r="H37" s="207"/>
      <c r="I37" s="207"/>
      <c r="J37" s="207"/>
      <c r="K37" s="207"/>
      <c r="L37" s="209">
        <v>240.54</v>
      </c>
    </row>
    <row r="38" spans="1:12" x14ac:dyDescent="0.2">
      <c r="A38" s="227" t="s">
        <v>45</v>
      </c>
      <c r="B38" s="228"/>
      <c r="C38" s="228"/>
      <c r="D38" s="228"/>
      <c r="E38" s="228"/>
      <c r="F38" s="228"/>
      <c r="G38" s="228"/>
      <c r="H38" s="228"/>
      <c r="I38" s="228"/>
      <c r="J38" s="228"/>
      <c r="K38" s="228"/>
      <c r="L38" s="229">
        <f>L36/L37</f>
        <v>39.036306991478511</v>
      </c>
    </row>
    <row r="39" spans="1:12" x14ac:dyDescent="0.2">
      <c r="A39" s="206" t="s">
        <v>46</v>
      </c>
      <c r="B39" s="207"/>
      <c r="C39" s="207"/>
      <c r="D39" s="207"/>
      <c r="E39" s="207"/>
      <c r="F39" s="207"/>
      <c r="G39" s="207"/>
      <c r="H39" s="207"/>
      <c r="I39" s="207"/>
      <c r="J39" s="207"/>
      <c r="K39" s="207"/>
      <c r="L39" s="210">
        <v>17.899999999999999</v>
      </c>
    </row>
    <row r="40" spans="1:12" ht="26" customHeight="1" x14ac:dyDescent="0.2">
      <c r="A40" s="225" t="s">
        <v>47</v>
      </c>
      <c r="B40" s="220"/>
      <c r="C40" s="220"/>
      <c r="D40" s="220"/>
      <c r="E40" s="220"/>
      <c r="F40" s="220"/>
      <c r="G40" s="220"/>
      <c r="H40" s="220"/>
      <c r="I40" s="220"/>
      <c r="J40" s="220"/>
      <c r="K40" s="220"/>
      <c r="L40" s="230">
        <f>(L38-L39)/L39</f>
        <v>1.1807992732669561</v>
      </c>
    </row>
    <row r="42" spans="1:12" x14ac:dyDescent="0.2">
      <c r="A42" s="314" t="s">
        <v>48</v>
      </c>
      <c r="B42" s="310"/>
      <c r="C42" s="310"/>
      <c r="D42" s="310"/>
      <c r="E42" s="310"/>
      <c r="F42" s="310"/>
      <c r="G42" s="310"/>
      <c r="H42" s="310"/>
      <c r="I42" s="310"/>
      <c r="J42" s="310"/>
      <c r="K42" s="310"/>
      <c r="L42" s="311"/>
    </row>
    <row r="43" spans="1:12" ht="16" customHeight="1" thickBot="1" x14ac:dyDescent="0.25">
      <c r="A43" s="309"/>
      <c r="B43" s="310"/>
      <c r="C43" s="310"/>
      <c r="D43" s="310"/>
      <c r="E43" s="310"/>
      <c r="F43" s="310"/>
      <c r="G43" s="310"/>
      <c r="H43" s="310"/>
      <c r="I43" s="310"/>
      <c r="J43" s="310"/>
      <c r="K43" s="310"/>
      <c r="L43" s="311"/>
    </row>
    <row r="44" spans="1:12" x14ac:dyDescent="0.2">
      <c r="A44" s="244" t="s">
        <v>49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2">
        <f>K16</f>
        <v>744.73879110058328</v>
      </c>
      <c r="L44" s="231"/>
    </row>
    <row r="45" spans="1:12" x14ac:dyDescent="0.2">
      <c r="A45" s="243" t="s">
        <v>50</v>
      </c>
      <c r="B45" s="233"/>
      <c r="C45" s="233"/>
      <c r="D45" s="233"/>
      <c r="E45" s="233"/>
      <c r="F45" s="233"/>
      <c r="G45" s="233"/>
      <c r="H45" s="233"/>
      <c r="I45" s="233"/>
      <c r="J45" s="233"/>
      <c r="K45" s="237">
        <f>'FCF_Projections pessimiste'!K43</f>
        <v>5.9744382999999998E-2</v>
      </c>
      <c r="L45" s="233"/>
    </row>
    <row r="46" spans="1:12" x14ac:dyDescent="0.2">
      <c r="A46" s="246" t="s">
        <v>36</v>
      </c>
      <c r="B46" s="247"/>
      <c r="C46" s="247"/>
      <c r="D46" s="247"/>
      <c r="E46" s="247"/>
      <c r="F46" s="247"/>
      <c r="G46" s="247"/>
      <c r="H46" s="247"/>
      <c r="I46" s="247"/>
      <c r="J46" s="247"/>
      <c r="K46" s="248">
        <f>K44*((1.02)/(K45))</f>
        <v>12714.727791608377</v>
      </c>
      <c r="L46" s="247"/>
    </row>
    <row r="47" spans="1:12" x14ac:dyDescent="0.2">
      <c r="A47" s="243" t="s">
        <v>37</v>
      </c>
      <c r="B47" s="233"/>
      <c r="C47" s="233"/>
      <c r="D47" s="233"/>
      <c r="E47" s="233"/>
      <c r="F47" s="233"/>
      <c r="G47" s="233"/>
      <c r="H47" s="233"/>
      <c r="I47" s="233"/>
      <c r="J47" s="233"/>
      <c r="K47" s="238">
        <f>K19</f>
        <v>0.68138917957668332</v>
      </c>
      <c r="L47" s="233"/>
    </row>
    <row r="48" spans="1:12" x14ac:dyDescent="0.2">
      <c r="A48" s="246" t="s">
        <v>38</v>
      </c>
      <c r="B48" s="247"/>
      <c r="C48" s="247"/>
      <c r="D48" s="247"/>
      <c r="E48" s="247"/>
      <c r="F48" s="247"/>
      <c r="G48" s="247"/>
      <c r="H48" s="247"/>
      <c r="I48" s="247"/>
      <c r="J48" s="247"/>
      <c r="K48" s="248">
        <f>K46*K47</f>
        <v>8663.6779384648871</v>
      </c>
      <c r="L48" s="247"/>
    </row>
    <row r="49" spans="1:13" ht="16" customHeight="1" thickBot="1" x14ac:dyDescent="0.25">
      <c r="A49" s="315"/>
      <c r="B49" s="310"/>
      <c r="C49" s="310"/>
      <c r="D49" s="310"/>
      <c r="E49" s="310"/>
      <c r="F49" s="310"/>
      <c r="G49" s="310"/>
      <c r="H49" s="310"/>
      <c r="I49" s="310"/>
      <c r="J49" s="310"/>
      <c r="K49" s="310"/>
      <c r="L49" s="311"/>
    </row>
    <row r="50" spans="1:13" x14ac:dyDescent="0.2">
      <c r="A50" s="245" t="s">
        <v>51</v>
      </c>
      <c r="B50" s="239"/>
      <c r="C50" s="239"/>
      <c r="D50" s="239"/>
      <c r="E50" s="239"/>
      <c r="F50" s="239"/>
      <c r="G50" s="239"/>
      <c r="H50" s="239"/>
      <c r="I50" s="239"/>
      <c r="J50" s="239"/>
      <c r="K50" s="239"/>
      <c r="L50" s="240">
        <f>L21</f>
        <v>1844.8507194370886</v>
      </c>
    </row>
    <row r="51" spans="1:13" x14ac:dyDescent="0.2">
      <c r="A51" s="234" t="s">
        <v>40</v>
      </c>
      <c r="B51" s="235"/>
      <c r="C51" s="235"/>
      <c r="D51" s="235"/>
      <c r="E51" s="235"/>
      <c r="F51" s="235"/>
      <c r="G51" s="235"/>
      <c r="H51" s="235"/>
      <c r="I51" s="235"/>
      <c r="J51" s="235"/>
      <c r="K51" s="235"/>
      <c r="L51" s="236">
        <f>K48</f>
        <v>8663.6779384648871</v>
      </c>
    </row>
    <row r="52" spans="1:13" x14ac:dyDescent="0.2">
      <c r="A52" s="249" t="s">
        <v>41</v>
      </c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1">
        <f>L50+L51</f>
        <v>10508.528657901976</v>
      </c>
    </row>
    <row r="53" spans="1:13" x14ac:dyDescent="0.2">
      <c r="A53" s="245" t="s">
        <v>52</v>
      </c>
      <c r="B53" s="235"/>
      <c r="C53" s="235"/>
      <c r="D53" s="235"/>
      <c r="E53" s="235"/>
      <c r="F53" s="235"/>
      <c r="G53" s="235"/>
      <c r="H53" s="235"/>
      <c r="I53" s="235"/>
      <c r="J53" s="235"/>
      <c r="K53" s="235"/>
      <c r="L53" s="236">
        <f>L35</f>
        <v>-1850.65</v>
      </c>
    </row>
    <row r="54" spans="1:13" x14ac:dyDescent="0.2">
      <c r="A54" s="252" t="s">
        <v>53</v>
      </c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1">
        <f>L52+L53</f>
        <v>8657.8786579019761</v>
      </c>
    </row>
    <row r="55" spans="1:13" x14ac:dyDescent="0.2">
      <c r="A55" s="234" t="s">
        <v>44</v>
      </c>
      <c r="B55" s="235"/>
      <c r="C55" s="235"/>
      <c r="D55" s="235"/>
      <c r="E55" s="235"/>
      <c r="F55" s="235"/>
      <c r="G55" s="235"/>
      <c r="H55" s="235"/>
      <c r="I55" s="235"/>
      <c r="J55" s="235"/>
      <c r="K55" s="235"/>
      <c r="L55" s="241">
        <v>240.54</v>
      </c>
    </row>
    <row r="56" spans="1:13" x14ac:dyDescent="0.2">
      <c r="A56" s="253" t="s">
        <v>45</v>
      </c>
      <c r="B56" s="250"/>
      <c r="C56" s="250"/>
      <c r="D56" s="250"/>
      <c r="E56" s="250"/>
      <c r="F56" s="250"/>
      <c r="G56" s="250"/>
      <c r="H56" s="250"/>
      <c r="I56" s="250"/>
      <c r="J56" s="250"/>
      <c r="K56" s="250"/>
      <c r="L56" s="254">
        <f>L54/L55</f>
        <v>35.993509012646449</v>
      </c>
    </row>
    <row r="57" spans="1:13" x14ac:dyDescent="0.2">
      <c r="A57" s="234" t="s">
        <v>54</v>
      </c>
      <c r="B57" s="235"/>
      <c r="C57" s="235"/>
      <c r="D57" s="235"/>
      <c r="E57" s="235"/>
      <c r="F57" s="235"/>
      <c r="G57" s="235"/>
      <c r="H57" s="235"/>
      <c r="I57" s="235"/>
      <c r="J57" s="235"/>
      <c r="K57" s="235"/>
      <c r="L57" s="242">
        <v>17.899999999999999</v>
      </c>
    </row>
    <row r="58" spans="1:13" x14ac:dyDescent="0.2">
      <c r="A58" s="249" t="s">
        <v>47</v>
      </c>
      <c r="B58" s="250"/>
      <c r="C58" s="250"/>
      <c r="D58" s="250"/>
      <c r="E58" s="250"/>
      <c r="F58" s="250"/>
      <c r="G58" s="250"/>
      <c r="H58" s="250"/>
      <c r="I58" s="250"/>
      <c r="J58" s="250"/>
      <c r="K58" s="250"/>
      <c r="L58" s="255">
        <f>(L56-L57)/L57</f>
        <v>1.0108105593657235</v>
      </c>
    </row>
    <row r="61" spans="1:13" x14ac:dyDescent="0.2">
      <c r="A61" s="257"/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</row>
    <row r="62" spans="1:13" ht="18" customHeight="1" x14ac:dyDescent="0.2">
      <c r="A62" s="328" t="s">
        <v>55</v>
      </c>
      <c r="B62" s="282"/>
      <c r="C62" s="282"/>
      <c r="D62" s="282"/>
      <c r="E62" s="282"/>
      <c r="F62" s="282"/>
      <c r="G62" s="282"/>
      <c r="H62" s="257"/>
      <c r="I62" s="257"/>
      <c r="J62" s="257"/>
      <c r="K62" s="257"/>
      <c r="L62" s="257"/>
      <c r="M62" s="257"/>
    </row>
    <row r="63" spans="1:13" ht="18" customHeight="1" x14ac:dyDescent="0.2">
      <c r="A63" s="277" t="s">
        <v>559</v>
      </c>
      <c r="B63" s="277" t="s">
        <v>56</v>
      </c>
      <c r="C63" s="277" t="s">
        <v>57</v>
      </c>
      <c r="D63" s="278" t="s">
        <v>632</v>
      </c>
      <c r="E63" s="277" t="s">
        <v>58</v>
      </c>
      <c r="F63" s="277" t="s">
        <v>633</v>
      </c>
      <c r="G63" s="257"/>
      <c r="H63" s="257"/>
      <c r="I63" s="257"/>
      <c r="J63" s="257"/>
      <c r="K63" s="257"/>
      <c r="L63" s="257"/>
      <c r="M63" s="257"/>
    </row>
    <row r="64" spans="1:13" ht="16" customHeight="1" x14ac:dyDescent="0.2">
      <c r="A64" s="279" t="s">
        <v>59</v>
      </c>
      <c r="B64" s="274">
        <v>36.58</v>
      </c>
      <c r="C64" s="274">
        <v>38.85</v>
      </c>
      <c r="D64" s="275">
        <v>41.13</v>
      </c>
      <c r="E64" s="274">
        <v>43.4</v>
      </c>
      <c r="F64" s="274">
        <v>45.67</v>
      </c>
      <c r="G64" s="257"/>
      <c r="H64" s="257"/>
      <c r="I64" s="257"/>
      <c r="J64" s="257"/>
      <c r="K64" s="257"/>
      <c r="L64" s="257"/>
      <c r="M64" s="257"/>
    </row>
    <row r="65" spans="1:13" ht="16" customHeight="1" x14ac:dyDescent="0.2">
      <c r="A65" s="279" t="s">
        <v>60</v>
      </c>
      <c r="B65" s="274">
        <v>35.61</v>
      </c>
      <c r="C65" s="274">
        <v>37.83</v>
      </c>
      <c r="D65" s="275">
        <v>40.049999999999997</v>
      </c>
      <c r="E65" s="274">
        <v>42.28</v>
      </c>
      <c r="F65" s="274">
        <v>44.5</v>
      </c>
      <c r="G65" s="257"/>
      <c r="H65" s="257"/>
      <c r="I65" s="257"/>
      <c r="J65" s="257"/>
      <c r="K65" s="257"/>
      <c r="L65" s="257"/>
      <c r="M65" s="257"/>
    </row>
    <row r="66" spans="1:13" ht="16" customHeight="1" x14ac:dyDescent="0.2">
      <c r="A66" s="278" t="s">
        <v>627</v>
      </c>
      <c r="B66" s="275">
        <v>34.67</v>
      </c>
      <c r="C66" s="275">
        <v>36.840000000000003</v>
      </c>
      <c r="D66" s="276">
        <v>39.01</v>
      </c>
      <c r="E66" s="275">
        <v>41.18</v>
      </c>
      <c r="F66" s="275">
        <v>43.35</v>
      </c>
      <c r="G66" s="257"/>
      <c r="H66" s="257"/>
      <c r="I66" s="257"/>
      <c r="J66" s="257"/>
      <c r="K66" s="257"/>
      <c r="L66" s="257"/>
      <c r="M66" s="257"/>
    </row>
    <row r="67" spans="1:13" ht="16" customHeight="1" x14ac:dyDescent="0.2">
      <c r="A67" s="279" t="s">
        <v>628</v>
      </c>
      <c r="B67" s="274">
        <v>33.75</v>
      </c>
      <c r="C67" s="274">
        <v>35.880000000000003</v>
      </c>
      <c r="D67" s="275">
        <v>38</v>
      </c>
      <c r="E67" s="274">
        <v>40.119999999999997</v>
      </c>
      <c r="F67" s="274">
        <v>42.24</v>
      </c>
      <c r="G67" s="257"/>
      <c r="H67" s="257"/>
      <c r="I67" s="257"/>
      <c r="J67" s="257"/>
      <c r="K67" s="257"/>
      <c r="L67" s="257"/>
      <c r="M67" s="257"/>
    </row>
    <row r="68" spans="1:13" ht="16" customHeight="1" x14ac:dyDescent="0.2">
      <c r="A68" s="279" t="s">
        <v>629</v>
      </c>
      <c r="B68" s="274">
        <v>32.86</v>
      </c>
      <c r="C68" s="274">
        <v>34.94</v>
      </c>
      <c r="D68" s="275">
        <v>37.01</v>
      </c>
      <c r="E68" s="274">
        <v>39.08</v>
      </c>
      <c r="F68" s="274">
        <v>41.15</v>
      </c>
      <c r="G68" s="257"/>
      <c r="H68" s="257"/>
      <c r="I68" s="257"/>
      <c r="J68" s="257"/>
      <c r="K68" s="257"/>
      <c r="L68" s="257"/>
      <c r="M68" s="257"/>
    </row>
    <row r="69" spans="1:13" ht="16" customHeight="1" x14ac:dyDescent="0.2">
      <c r="A69" s="327"/>
      <c r="B69" s="282"/>
      <c r="C69" s="282"/>
      <c r="D69" s="282"/>
      <c r="E69" s="282"/>
      <c r="F69" s="282"/>
      <c r="G69" s="282"/>
      <c r="H69" s="257"/>
      <c r="I69" s="257"/>
      <c r="J69" s="257"/>
      <c r="K69" s="257"/>
      <c r="L69" s="257"/>
      <c r="M69" s="257"/>
    </row>
    <row r="70" spans="1:13" x14ac:dyDescent="0.2">
      <c r="A70" s="257"/>
      <c r="B70" s="257"/>
      <c r="C70" s="257"/>
      <c r="D70" s="257"/>
      <c r="E70" s="257"/>
      <c r="F70" s="257"/>
      <c r="G70" s="257"/>
      <c r="H70" s="257"/>
      <c r="I70" s="257"/>
      <c r="J70" s="257"/>
      <c r="K70" s="257"/>
      <c r="L70" s="257"/>
      <c r="M70" s="257"/>
    </row>
    <row r="71" spans="1:13" ht="18" customHeight="1" x14ac:dyDescent="0.2">
      <c r="A71" s="328" t="s">
        <v>61</v>
      </c>
      <c r="B71" s="282"/>
      <c r="C71" s="282"/>
      <c r="D71" s="282"/>
      <c r="E71" s="282"/>
      <c r="F71" s="282"/>
      <c r="G71" s="282"/>
      <c r="H71" s="257"/>
      <c r="I71" s="257"/>
      <c r="J71" s="257"/>
      <c r="K71" s="257"/>
      <c r="L71" s="257"/>
      <c r="M71" s="257"/>
    </row>
    <row r="72" spans="1:13" ht="18" customHeight="1" x14ac:dyDescent="0.2">
      <c r="A72" s="277" t="s">
        <v>553</v>
      </c>
      <c r="B72" s="277" t="s">
        <v>554</v>
      </c>
      <c r="C72" s="277" t="s">
        <v>555</v>
      </c>
      <c r="D72" s="278" t="s">
        <v>556</v>
      </c>
      <c r="E72" s="277" t="s">
        <v>557</v>
      </c>
      <c r="F72" s="277" t="s">
        <v>558</v>
      </c>
      <c r="G72" s="257"/>
      <c r="H72" s="257"/>
      <c r="I72" s="257"/>
      <c r="J72" s="257"/>
      <c r="K72" s="257"/>
      <c r="L72" s="257"/>
      <c r="M72" s="257"/>
    </row>
    <row r="73" spans="1:13" ht="16" customHeight="1" x14ac:dyDescent="0.2">
      <c r="A73" s="279" t="s">
        <v>59</v>
      </c>
      <c r="B73" s="274">
        <v>37.590000000000003</v>
      </c>
      <c r="C73" s="274">
        <v>41.21</v>
      </c>
      <c r="D73" s="275">
        <v>45.56</v>
      </c>
      <c r="E73" s="274">
        <v>50.88</v>
      </c>
      <c r="F73" s="274">
        <v>57.54</v>
      </c>
      <c r="G73" s="257"/>
      <c r="H73" s="257"/>
      <c r="I73" s="257"/>
      <c r="J73" s="257"/>
      <c r="K73" s="257"/>
      <c r="L73" s="257"/>
      <c r="M73" s="257"/>
    </row>
    <row r="74" spans="1:13" ht="16" customHeight="1" x14ac:dyDescent="0.2">
      <c r="A74" s="279" t="s">
        <v>60</v>
      </c>
      <c r="B74" s="274">
        <v>33.78</v>
      </c>
      <c r="C74" s="274">
        <v>36.78</v>
      </c>
      <c r="D74" s="275">
        <v>40.33</v>
      </c>
      <c r="E74" s="274">
        <v>44.6</v>
      </c>
      <c r="F74" s="274">
        <v>49.82</v>
      </c>
      <c r="G74" s="257"/>
      <c r="H74" s="257"/>
      <c r="I74" s="257"/>
      <c r="J74" s="257"/>
      <c r="K74" s="257"/>
      <c r="L74" s="257"/>
      <c r="M74" s="257"/>
    </row>
    <row r="75" spans="1:13" ht="16" customHeight="1" x14ac:dyDescent="0.2">
      <c r="A75" s="278" t="s">
        <v>627</v>
      </c>
      <c r="B75" s="275">
        <v>30.51</v>
      </c>
      <c r="C75" s="275">
        <v>33.04</v>
      </c>
      <c r="D75" s="276">
        <v>35.99</v>
      </c>
      <c r="E75" s="275">
        <v>39.479999999999997</v>
      </c>
      <c r="F75" s="275">
        <v>43.67</v>
      </c>
      <c r="G75" s="257"/>
      <c r="H75" s="257"/>
      <c r="I75" s="257"/>
      <c r="J75" s="257"/>
      <c r="K75" s="257"/>
      <c r="L75" s="257"/>
      <c r="M75" s="257"/>
    </row>
    <row r="76" spans="1:13" ht="16" customHeight="1" x14ac:dyDescent="0.2">
      <c r="A76" s="279" t="s">
        <v>628</v>
      </c>
      <c r="B76" s="274">
        <v>27.69</v>
      </c>
      <c r="C76" s="274">
        <v>29.84</v>
      </c>
      <c r="D76" s="275">
        <v>32.32</v>
      </c>
      <c r="E76" s="274">
        <v>35.21</v>
      </c>
      <c r="F76" s="274">
        <v>38.64</v>
      </c>
      <c r="G76" s="257"/>
      <c r="H76" s="257"/>
      <c r="I76" s="257"/>
      <c r="J76" s="257"/>
      <c r="K76" s="257"/>
      <c r="L76" s="257"/>
      <c r="M76" s="257"/>
    </row>
    <row r="77" spans="1:13" ht="16" customHeight="1" x14ac:dyDescent="0.2">
      <c r="A77" s="279" t="s">
        <v>629</v>
      </c>
      <c r="B77" s="274">
        <v>25.23</v>
      </c>
      <c r="C77" s="274">
        <v>27.07</v>
      </c>
      <c r="D77" s="275">
        <v>29.18</v>
      </c>
      <c r="E77" s="274">
        <v>31.62</v>
      </c>
      <c r="F77" s="274">
        <v>34.46</v>
      </c>
      <c r="G77" s="257"/>
      <c r="H77" s="257"/>
      <c r="I77" s="257"/>
      <c r="J77" s="257"/>
      <c r="K77" s="257"/>
      <c r="L77" s="257"/>
      <c r="M77" s="257"/>
    </row>
    <row r="78" spans="1:13" ht="16" customHeight="1" x14ac:dyDescent="0.2">
      <c r="A78" s="327"/>
      <c r="B78" s="282"/>
      <c r="C78" s="282"/>
      <c r="D78" s="282"/>
      <c r="E78" s="282"/>
      <c r="F78" s="282"/>
      <c r="G78" s="282"/>
      <c r="H78" s="257"/>
      <c r="I78" s="257"/>
      <c r="J78" s="257"/>
      <c r="K78" s="257"/>
      <c r="L78" s="257"/>
      <c r="M78" s="257"/>
    </row>
    <row r="79" spans="1:13" x14ac:dyDescent="0.2">
      <c r="A79" s="257"/>
      <c r="B79" s="257"/>
      <c r="C79" s="257"/>
      <c r="D79" s="257"/>
      <c r="E79" s="257"/>
      <c r="F79" s="257"/>
      <c r="G79" s="257"/>
      <c r="H79" s="257"/>
      <c r="I79" s="257"/>
      <c r="J79" s="257"/>
      <c r="K79" s="257"/>
      <c r="L79" s="257"/>
      <c r="M79" s="257"/>
    </row>
    <row r="80" spans="1:13" x14ac:dyDescent="0.2">
      <c r="A80" s="257"/>
      <c r="B80" s="257"/>
      <c r="C80" s="257"/>
      <c r="D80" s="257"/>
      <c r="E80" s="257"/>
      <c r="F80" s="257"/>
      <c r="G80" s="257"/>
      <c r="H80" s="257"/>
      <c r="I80" s="257"/>
      <c r="J80" s="257"/>
      <c r="K80" s="257"/>
      <c r="L80" s="257"/>
      <c r="M80" s="257"/>
    </row>
    <row r="81" spans="1:13" x14ac:dyDescent="0.2">
      <c r="A81" s="257"/>
      <c r="B81" s="257"/>
      <c r="C81" s="257"/>
      <c r="D81" s="257"/>
      <c r="E81" s="257"/>
      <c r="F81" s="257"/>
      <c r="G81" s="257"/>
      <c r="H81" s="257"/>
      <c r="I81" s="257"/>
      <c r="J81" s="257"/>
      <c r="K81" s="257"/>
      <c r="L81" s="257"/>
      <c r="M81" s="257"/>
    </row>
    <row r="82" spans="1:13" x14ac:dyDescent="0.2">
      <c r="A82" s="257"/>
      <c r="B82" s="257"/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</row>
    <row r="83" spans="1:13" x14ac:dyDescent="0.2">
      <c r="A83" s="257"/>
      <c r="B83" s="257"/>
      <c r="C83" s="257"/>
      <c r="D83" s="257"/>
      <c r="E83" s="257"/>
      <c r="F83" s="257"/>
      <c r="G83" s="257"/>
      <c r="H83" s="257"/>
      <c r="I83" s="257"/>
      <c r="J83" s="257"/>
      <c r="K83" s="257"/>
      <c r="L83" s="257"/>
      <c r="M83" s="257"/>
    </row>
    <row r="84" spans="1:13" x14ac:dyDescent="0.2">
      <c r="A84" s="257"/>
      <c r="B84" s="257"/>
      <c r="C84" s="257"/>
      <c r="D84" s="257"/>
      <c r="E84" s="257"/>
      <c r="F84" s="257"/>
      <c r="G84" s="257"/>
      <c r="H84" s="257"/>
      <c r="I84" s="257"/>
      <c r="J84" s="257"/>
      <c r="K84" s="257"/>
      <c r="L84" s="257"/>
      <c r="M84" s="257"/>
    </row>
    <row r="85" spans="1:13" x14ac:dyDescent="0.2">
      <c r="A85" s="257"/>
      <c r="B85" s="257"/>
      <c r="C85" s="257"/>
      <c r="D85" s="257"/>
      <c r="E85" s="257"/>
      <c r="F85" s="257"/>
      <c r="G85" s="257"/>
      <c r="H85" s="257"/>
      <c r="I85" s="257"/>
      <c r="J85" s="257"/>
      <c r="K85" s="257"/>
      <c r="L85" s="257"/>
      <c r="M85" s="257"/>
    </row>
    <row r="86" spans="1:13" x14ac:dyDescent="0.2">
      <c r="A86" s="257"/>
      <c r="B86" s="257"/>
      <c r="C86" s="257"/>
      <c r="D86" s="257"/>
      <c r="E86" s="257"/>
      <c r="F86" s="257"/>
      <c r="G86" s="257"/>
      <c r="H86" s="257"/>
      <c r="I86" s="257"/>
      <c r="J86" s="257"/>
      <c r="K86" s="257"/>
      <c r="L86" s="257"/>
      <c r="M86" s="257"/>
    </row>
    <row r="87" spans="1:13" x14ac:dyDescent="0.2">
      <c r="A87" s="257"/>
      <c r="B87" s="257"/>
      <c r="C87" s="257"/>
      <c r="D87" s="257"/>
      <c r="E87" s="257"/>
      <c r="F87" s="257"/>
      <c r="G87" s="257"/>
      <c r="H87" s="257"/>
      <c r="I87" s="257"/>
      <c r="J87" s="257"/>
      <c r="K87" s="257"/>
      <c r="L87" s="257"/>
      <c r="M87" s="257"/>
    </row>
    <row r="88" spans="1:13" x14ac:dyDescent="0.2">
      <c r="A88" s="257"/>
      <c r="B88" s="257"/>
      <c r="C88" s="257"/>
      <c r="D88" s="257"/>
      <c r="E88" s="257"/>
      <c r="F88" s="257"/>
      <c r="G88" s="257"/>
      <c r="H88" s="257"/>
      <c r="I88" s="257"/>
      <c r="J88" s="257"/>
      <c r="K88" s="257"/>
      <c r="L88" s="257"/>
      <c r="M88" s="257"/>
    </row>
    <row r="89" spans="1:13" x14ac:dyDescent="0.2">
      <c r="A89" s="257"/>
      <c r="B89" s="257"/>
      <c r="C89" s="257"/>
      <c r="D89" s="257"/>
      <c r="E89" s="257"/>
      <c r="F89" s="257"/>
      <c r="G89" s="257"/>
      <c r="H89" s="257"/>
      <c r="I89" s="257"/>
      <c r="J89" s="257"/>
      <c r="K89" s="257"/>
      <c r="L89" s="257"/>
      <c r="M89" s="257"/>
    </row>
  </sheetData>
  <mergeCells count="19">
    <mergeCell ref="A1:L1"/>
    <mergeCell ref="A6:L6"/>
    <mergeCell ref="A71:G71"/>
    <mergeCell ref="A69:G69"/>
    <mergeCell ref="A31:L31"/>
    <mergeCell ref="A2:L2"/>
    <mergeCell ref="A78:G78"/>
    <mergeCell ref="A24:L24"/>
    <mergeCell ref="A11:L11"/>
    <mergeCell ref="A49:L49"/>
    <mergeCell ref="A25:L25"/>
    <mergeCell ref="A62:G62"/>
    <mergeCell ref="A18:F18"/>
    <mergeCell ref="A42:L42"/>
    <mergeCell ref="A17:L17"/>
    <mergeCell ref="A20:F20"/>
    <mergeCell ref="A43:L43"/>
    <mergeCell ref="A19:F19"/>
    <mergeCell ref="A21:K2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27B7E-D87B-A44D-A88B-CD04A89F7406}">
  <dimension ref="A4:H26"/>
  <sheetViews>
    <sheetView zoomScale="150" workbookViewId="0">
      <selection activeCell="H6" sqref="H6"/>
    </sheetView>
  </sheetViews>
  <sheetFormatPr baseColWidth="10" defaultRowHeight="15" x14ac:dyDescent="0.2"/>
  <cols>
    <col min="1" max="1" width="17.83203125" bestFit="1" customWidth="1"/>
    <col min="2" max="2" width="17.83203125" customWidth="1"/>
    <col min="3" max="3" width="14.5" bestFit="1" customWidth="1"/>
    <col min="6" max="6" width="18" bestFit="1" customWidth="1"/>
  </cols>
  <sheetData>
    <row r="4" spans="1:8" x14ac:dyDescent="0.2">
      <c r="A4" s="271" t="s">
        <v>600</v>
      </c>
      <c r="B4" s="271" t="s">
        <v>605</v>
      </c>
      <c r="C4" s="271" t="s">
        <v>601</v>
      </c>
      <c r="D4" s="271" t="s">
        <v>606</v>
      </c>
      <c r="E4" s="271" t="s">
        <v>607</v>
      </c>
      <c r="F4" s="271" t="s">
        <v>608</v>
      </c>
      <c r="G4" s="271" t="s">
        <v>616</v>
      </c>
      <c r="H4" s="271" t="s">
        <v>615</v>
      </c>
    </row>
    <row r="5" spans="1:8" x14ac:dyDescent="0.2">
      <c r="A5" s="271" t="s">
        <v>591</v>
      </c>
      <c r="B5" s="272">
        <v>4.74</v>
      </c>
      <c r="C5" s="272" t="s">
        <v>598</v>
      </c>
      <c r="D5" s="272">
        <v>1.1499999999999999</v>
      </c>
      <c r="E5" s="272">
        <f t="shared" ref="E5:E8" si="0">B5+D5</f>
        <v>5.8900000000000006</v>
      </c>
      <c r="F5" s="272">
        <v>4.0999999999999996</v>
      </c>
      <c r="G5" s="272">
        <v>8.98</v>
      </c>
      <c r="H5" s="272">
        <v>13.87</v>
      </c>
    </row>
    <row r="6" spans="1:8" x14ac:dyDescent="0.2">
      <c r="A6" s="271" t="s">
        <v>592</v>
      </c>
      <c r="B6" s="272">
        <v>56.87</v>
      </c>
      <c r="C6" s="272" t="s">
        <v>597</v>
      </c>
      <c r="D6" s="272">
        <v>18.329999999999998</v>
      </c>
      <c r="E6" s="272">
        <f t="shared" si="0"/>
        <v>75.199999999999989</v>
      </c>
      <c r="F6" s="272">
        <v>58.274999999999999</v>
      </c>
      <c r="G6" s="272">
        <v>10.1</v>
      </c>
      <c r="H6" s="272">
        <v>22.03</v>
      </c>
    </row>
    <row r="7" spans="1:8" x14ac:dyDescent="0.2">
      <c r="A7" s="271" t="s">
        <v>593</v>
      </c>
      <c r="B7" s="272">
        <v>5.53</v>
      </c>
      <c r="C7" s="272" t="s">
        <v>599</v>
      </c>
      <c r="D7" s="272">
        <v>3.17</v>
      </c>
      <c r="E7" s="272">
        <f t="shared" si="0"/>
        <v>8.6999999999999993</v>
      </c>
      <c r="F7" s="272">
        <v>8.8680000000000003</v>
      </c>
      <c r="G7" s="272">
        <v>6.32</v>
      </c>
      <c r="H7" s="272">
        <v>13.64</v>
      </c>
    </row>
    <row r="8" spans="1:8" x14ac:dyDescent="0.2">
      <c r="A8" s="271" t="s">
        <v>594</v>
      </c>
      <c r="B8" s="272">
        <v>1.84</v>
      </c>
      <c r="C8" s="272" t="s">
        <v>597</v>
      </c>
      <c r="D8" s="272">
        <v>2.02</v>
      </c>
      <c r="E8" s="272">
        <f t="shared" si="0"/>
        <v>3.8600000000000003</v>
      </c>
      <c r="F8" s="272">
        <v>5.45</v>
      </c>
      <c r="G8" s="272">
        <v>7.09</v>
      </c>
      <c r="H8" s="272"/>
    </row>
    <row r="9" spans="1:8" x14ac:dyDescent="0.2">
      <c r="A9" s="271" t="s">
        <v>595</v>
      </c>
      <c r="B9" s="272">
        <v>3.46</v>
      </c>
      <c r="C9" s="272" t="s">
        <v>596</v>
      </c>
      <c r="D9" s="272">
        <v>1.633</v>
      </c>
      <c r="E9" s="272">
        <f>B9+D9</f>
        <v>5.093</v>
      </c>
      <c r="F9" s="272">
        <v>4.6440000000000001</v>
      </c>
      <c r="G9" s="272">
        <v>5.8</v>
      </c>
      <c r="H9" s="272">
        <v>11.12</v>
      </c>
    </row>
    <row r="10" spans="1:8" x14ac:dyDescent="0.2">
      <c r="A10" s="271" t="s">
        <v>603</v>
      </c>
      <c r="B10" s="272"/>
      <c r="C10" s="272"/>
      <c r="D10" s="272"/>
      <c r="E10" s="272"/>
      <c r="F10" s="272"/>
      <c r="G10" s="272">
        <f>(G5+G6+G7+G8+G9)/5</f>
        <v>7.6579999999999986</v>
      </c>
      <c r="H10" s="272">
        <f>(H5+H6+H7+H9)/4</f>
        <v>15.164999999999999</v>
      </c>
    </row>
    <row r="11" spans="1:8" x14ac:dyDescent="0.2">
      <c r="A11" s="271" t="s">
        <v>604</v>
      </c>
      <c r="B11" s="272"/>
      <c r="C11" s="272"/>
      <c r="D11" s="272"/>
      <c r="E11" s="272"/>
      <c r="F11" s="272"/>
      <c r="G11" s="272">
        <f>G8</f>
        <v>7.09</v>
      </c>
      <c r="H11" s="272">
        <v>13.755000000000001</v>
      </c>
    </row>
    <row r="12" spans="1:8" x14ac:dyDescent="0.2">
      <c r="A12" s="271" t="s">
        <v>609</v>
      </c>
      <c r="B12" s="272">
        <v>4.3</v>
      </c>
      <c r="C12" s="272" t="s">
        <v>596</v>
      </c>
      <c r="D12" s="272">
        <v>1.357</v>
      </c>
      <c r="E12" s="272">
        <f>B12+D12</f>
        <v>5.657</v>
      </c>
      <c r="F12" s="272">
        <v>3.6</v>
      </c>
      <c r="G12" s="272">
        <v>6.22</v>
      </c>
      <c r="H12" s="272">
        <v>11.97</v>
      </c>
    </row>
    <row r="16" spans="1:8" x14ac:dyDescent="0.2">
      <c r="A16" s="271" t="s">
        <v>610</v>
      </c>
      <c r="B16" s="271" t="s">
        <v>611</v>
      </c>
      <c r="C16" s="271" t="s">
        <v>612</v>
      </c>
      <c r="D16" s="271" t="s">
        <v>613</v>
      </c>
      <c r="E16" s="271" t="s">
        <v>566</v>
      </c>
      <c r="F16" s="271" t="s">
        <v>614</v>
      </c>
    </row>
    <row r="17" spans="1:8" x14ac:dyDescent="0.2">
      <c r="A17" s="271" t="s">
        <v>425</v>
      </c>
      <c r="B17" s="272">
        <f>G11</f>
        <v>7.09</v>
      </c>
      <c r="C17" s="272">
        <v>6.444</v>
      </c>
      <c r="D17" s="272">
        <v>1.357</v>
      </c>
      <c r="E17" s="272">
        <f>C17-D17</f>
        <v>5.0869999999999997</v>
      </c>
      <c r="F17" s="273">
        <f>5087/240.54</f>
        <v>21.1482497713478</v>
      </c>
    </row>
    <row r="18" spans="1:8" x14ac:dyDescent="0.2">
      <c r="A18" s="271" t="s">
        <v>602</v>
      </c>
      <c r="B18" s="272">
        <f>H11</f>
        <v>13.755000000000001</v>
      </c>
      <c r="C18" s="272"/>
      <c r="D18" s="272"/>
      <c r="E18" s="272">
        <f>B18*357</f>
        <v>4910.5349999999999</v>
      </c>
      <c r="F18" s="273">
        <f>E18/240.54</f>
        <v>20.414629583437268</v>
      </c>
    </row>
    <row r="20" spans="1:8" x14ac:dyDescent="0.2">
      <c r="H20" t="s">
        <v>617</v>
      </c>
    </row>
    <row r="21" spans="1:8" x14ac:dyDescent="0.2">
      <c r="A21" s="271" t="s">
        <v>618</v>
      </c>
      <c r="B21" s="271" t="s">
        <v>611</v>
      </c>
      <c r="C21" s="271" t="s">
        <v>620</v>
      </c>
      <c r="D21" s="271" t="s">
        <v>621</v>
      </c>
      <c r="E21" s="271" t="s">
        <v>622</v>
      </c>
      <c r="F21" s="271" t="s">
        <v>623</v>
      </c>
    </row>
    <row r="22" spans="1:8" x14ac:dyDescent="0.2">
      <c r="A22" s="271" t="s">
        <v>626</v>
      </c>
      <c r="B22" s="272">
        <v>5.09</v>
      </c>
      <c r="C22" s="272">
        <v>4.6260000000000003</v>
      </c>
      <c r="D22" s="272">
        <f>D17</f>
        <v>1.357</v>
      </c>
      <c r="E22" s="272">
        <f>C22-D22</f>
        <v>3.2690000000000001</v>
      </c>
      <c r="F22" s="273">
        <f>3269/240.54</f>
        <v>13.590255259000582</v>
      </c>
    </row>
    <row r="23" spans="1:8" x14ac:dyDescent="0.2">
      <c r="A23" s="271" t="s">
        <v>619</v>
      </c>
      <c r="B23" s="272">
        <v>8.09</v>
      </c>
      <c r="C23" s="272">
        <v>7.3529999999999998</v>
      </c>
      <c r="D23" s="272">
        <f>D22</f>
        <v>1.357</v>
      </c>
      <c r="E23" s="272">
        <f>C23-D23</f>
        <v>5.9959999999999996</v>
      </c>
      <c r="F23" s="273">
        <f>5996/240.54</f>
        <v>24.92724702752141</v>
      </c>
    </row>
    <row r="24" spans="1:8" x14ac:dyDescent="0.2">
      <c r="A24" s="271"/>
      <c r="B24" s="272"/>
      <c r="C24" s="272"/>
      <c r="D24" s="272"/>
      <c r="E24" s="272"/>
      <c r="F24" s="273"/>
    </row>
    <row r="25" spans="1:8" x14ac:dyDescent="0.2">
      <c r="A25" s="271" t="s">
        <v>624</v>
      </c>
      <c r="B25" s="272">
        <v>8.7550000000000008</v>
      </c>
      <c r="C25" s="272"/>
      <c r="D25" s="272"/>
      <c r="E25" s="272">
        <f>B25*357</f>
        <v>3125.5350000000003</v>
      </c>
      <c r="F25" s="273">
        <f>E25/240.54</f>
        <v>12.993826390621104</v>
      </c>
    </row>
    <row r="26" spans="1:8" x14ac:dyDescent="0.2">
      <c r="A26" s="271" t="s">
        <v>625</v>
      </c>
      <c r="B26" s="272">
        <v>18.754999999999999</v>
      </c>
      <c r="C26" s="272"/>
      <c r="D26" s="272"/>
      <c r="E26" s="272">
        <f>B26*357</f>
        <v>6695.5349999999999</v>
      </c>
      <c r="F26" s="273">
        <f>E26/240.54</f>
        <v>27.83543277625343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3"/>
  <sheetViews>
    <sheetView zoomScale="156" zoomScaleNormal="156" workbookViewId="0">
      <pane xSplit="1" ySplit="3" topLeftCell="B51" activePane="bottomRight" state="frozen"/>
      <selection pane="topRight" activeCell="B1" sqref="B1"/>
      <selection pane="bottomLeft" activeCell="A198" sqref="A198"/>
      <selection pane="bottomRight" activeCell="F177" sqref="F177"/>
    </sheetView>
  </sheetViews>
  <sheetFormatPr baseColWidth="10" defaultColWidth="8.83203125" defaultRowHeight="15" customHeight="1" x14ac:dyDescent="0.2"/>
  <cols>
    <col min="1" max="1" width="36.6640625" customWidth="1"/>
    <col min="2" max="6" width="13.6640625" customWidth="1"/>
  </cols>
  <sheetData>
    <row r="1" spans="1:6" ht="3.75" customHeight="1" x14ac:dyDescent="0.2"/>
    <row r="2" spans="1:6" ht="25.5" customHeight="1" x14ac:dyDescent="0.2">
      <c r="A2" s="287" t="s">
        <v>97</v>
      </c>
      <c r="B2" s="288"/>
      <c r="C2" s="288"/>
      <c r="D2" s="288"/>
      <c r="E2" s="288"/>
      <c r="F2" s="289"/>
    </row>
    <row r="3" spans="1:6" ht="18" customHeight="1" x14ac:dyDescent="0.2">
      <c r="A3" s="1"/>
      <c r="B3" s="2">
        <v>2021</v>
      </c>
      <c r="C3" s="2">
        <v>2022</v>
      </c>
      <c r="D3" s="2">
        <v>2023</v>
      </c>
      <c r="E3" s="2">
        <v>2024</v>
      </c>
      <c r="F3" s="2">
        <v>2025</v>
      </c>
    </row>
    <row r="4" spans="1:6" ht="15.75" customHeight="1" x14ac:dyDescent="0.2">
      <c r="A4" s="12" t="s">
        <v>98</v>
      </c>
      <c r="B4" s="3"/>
      <c r="C4" s="3"/>
      <c r="D4" s="3"/>
      <c r="E4" s="3"/>
      <c r="F4" s="3"/>
    </row>
    <row r="5" spans="1:6" ht="15.75" customHeight="1" x14ac:dyDescent="0.2">
      <c r="A5" s="5" t="s">
        <v>99</v>
      </c>
      <c r="B5" s="13">
        <v>7989.68</v>
      </c>
      <c r="C5" s="13">
        <v>7570.33</v>
      </c>
      <c r="D5" s="13">
        <v>6139.9</v>
      </c>
      <c r="E5" s="13">
        <v>4346</v>
      </c>
      <c r="F5" s="13">
        <v>4482</v>
      </c>
    </row>
    <row r="6" spans="1:6" ht="15.75" customHeight="1" x14ac:dyDescent="0.2">
      <c r="A6" s="3" t="s">
        <v>100</v>
      </c>
      <c r="B6" s="14" t="s">
        <v>101</v>
      </c>
      <c r="C6" s="15">
        <f>IFERROR(C5/B5-1,"na")</f>
        <v>-5.248645753021397E-2</v>
      </c>
      <c r="D6" s="15">
        <f>IFERROR(D5/C5-1,"na")</f>
        <v>-0.1889521328660706</v>
      </c>
      <c r="E6" s="15">
        <f>IFERROR(E5/D5-1,"na")</f>
        <v>-0.292170882261926</v>
      </c>
      <c r="F6" s="15">
        <f>IFERROR(F5/E5-1,"na")</f>
        <v>3.1293143120110445E-2</v>
      </c>
    </row>
    <row r="7" spans="1:6" ht="15.75" customHeight="1" x14ac:dyDescent="0.2">
      <c r="A7" s="5" t="s">
        <v>102</v>
      </c>
      <c r="B7" s="16" t="s">
        <v>101</v>
      </c>
      <c r="C7" s="17">
        <f>C6-C10</f>
        <v>-0.10555078133826901</v>
      </c>
      <c r="D7" s="17">
        <f>D6-D10</f>
        <v>-0.20312566284117106</v>
      </c>
      <c r="E7" s="17">
        <f>E6-E10</f>
        <v>-0.21757220426381452</v>
      </c>
      <c r="F7" s="17">
        <f>F6-F10</f>
        <v>3.0092662928033587E-2</v>
      </c>
    </row>
    <row r="8" spans="1:6" ht="15.75" customHeight="1" x14ac:dyDescent="0.2">
      <c r="A8" s="3" t="s">
        <v>103</v>
      </c>
      <c r="B8" s="14">
        <v>-6303.99</v>
      </c>
      <c r="C8" s="14">
        <f>1775.14-C5</f>
        <v>-5795.19</v>
      </c>
      <c r="D8" s="14">
        <f>1800.3-D5</f>
        <v>-4339.5999999999995</v>
      </c>
      <c r="E8" s="14">
        <v>-2680</v>
      </c>
      <c r="F8" s="14">
        <f>F9-F5</f>
        <v>-2814</v>
      </c>
    </row>
    <row r="9" spans="1:6" ht="15.75" customHeight="1" x14ac:dyDescent="0.2">
      <c r="A9" s="5" t="s">
        <v>104</v>
      </c>
      <c r="B9" s="13">
        <v>1685.69</v>
      </c>
      <c r="C9" s="16">
        <f>C5+C8</f>
        <v>1775.1400000000003</v>
      </c>
      <c r="D9" s="16">
        <f>D5+D8</f>
        <v>1800.3000000000002</v>
      </c>
      <c r="E9" s="16">
        <f>E5+E8</f>
        <v>1666</v>
      </c>
      <c r="F9" s="13">
        <v>1668</v>
      </c>
    </row>
    <row r="10" spans="1:6" ht="15.75" customHeight="1" x14ac:dyDescent="0.2">
      <c r="A10" s="3" t="s">
        <v>100</v>
      </c>
      <c r="B10" s="14" t="s">
        <v>101</v>
      </c>
      <c r="C10" s="15">
        <f>IFERROR(C9/B9-1,"na")</f>
        <v>5.3064323808055036E-2</v>
      </c>
      <c r="D10" s="15">
        <f>IFERROR(D9/C9-1,"na")</f>
        <v>1.4173529975100463E-2</v>
      </c>
      <c r="E10" s="15">
        <f>IFERROR(E9/D9-1,"na")</f>
        <v>-7.4598677998111484E-2</v>
      </c>
      <c r="F10" s="15">
        <f>IFERROR(F9/E9-1,"na")</f>
        <v>1.2004801920768582E-3</v>
      </c>
    </row>
    <row r="11" spans="1:6" ht="3.75" customHeight="1" x14ac:dyDescent="0.2"/>
    <row r="12" spans="1:6" ht="15.75" customHeight="1" x14ac:dyDescent="0.2">
      <c r="A12" s="5" t="s">
        <v>105</v>
      </c>
      <c r="B12" s="13">
        <v>401.6</v>
      </c>
      <c r="C12" s="13">
        <v>418.8</v>
      </c>
      <c r="D12" s="13">
        <v>436.1</v>
      </c>
      <c r="E12" s="13">
        <v>431</v>
      </c>
      <c r="F12" s="13">
        <v>450</v>
      </c>
    </row>
    <row r="13" spans="1:6" ht="15.75" customHeight="1" x14ac:dyDescent="0.2">
      <c r="A13" s="3" t="s">
        <v>106</v>
      </c>
      <c r="B13" s="15">
        <f>IFERROR(B12/B9,"na")</f>
        <v>0.23824072041715855</v>
      </c>
      <c r="C13" s="15">
        <f>IFERROR(C12/C9,"na")</f>
        <v>0.23592505379857359</v>
      </c>
      <c r="D13" s="15">
        <f>IFERROR(D12/D9,"na")</f>
        <v>0.24223740487696493</v>
      </c>
      <c r="E13" s="15">
        <f>IFERROR(E12/E9,"na")</f>
        <v>0.258703481392557</v>
      </c>
      <c r="F13" s="15">
        <f>IFERROR(F12/F9,"na")</f>
        <v>0.26978417266187049</v>
      </c>
    </row>
    <row r="14" spans="1:6" ht="15.75" customHeight="1" x14ac:dyDescent="0.2">
      <c r="A14" s="5" t="s">
        <v>100</v>
      </c>
      <c r="B14" s="16" t="s">
        <v>101</v>
      </c>
      <c r="C14" s="17">
        <f>IFERROR(C12/B12-1,"na")</f>
        <v>4.2828685258964105E-2</v>
      </c>
      <c r="D14" s="17">
        <f>IFERROR(D12/C12-1,"na")</f>
        <v>4.1308500477554855E-2</v>
      </c>
      <c r="E14" s="17">
        <f>IFERROR(E12/D12-1,"na")</f>
        <v>-1.1694565466636164E-2</v>
      </c>
      <c r="F14" s="17">
        <f>IFERROR(F12/E12-1,"na")</f>
        <v>4.4083526682134666E-2</v>
      </c>
    </row>
    <row r="15" spans="1:6" ht="15.75" customHeight="1" x14ac:dyDescent="0.2">
      <c r="A15" s="3" t="s">
        <v>107</v>
      </c>
      <c r="B15" s="18">
        <v>323.10000000000002</v>
      </c>
      <c r="C15" s="14">
        <f>C9-B9</f>
        <v>89.450000000000273</v>
      </c>
      <c r="D15" s="14">
        <f>D9-C9</f>
        <v>25.159999999999854</v>
      </c>
      <c r="E15" s="14">
        <f>E9-D9</f>
        <v>-134.30000000000018</v>
      </c>
      <c r="F15" s="14">
        <f>F9-E9</f>
        <v>2</v>
      </c>
    </row>
    <row r="16" spans="1:6" ht="15.75" customHeight="1" x14ac:dyDescent="0.2">
      <c r="A16" s="5" t="s">
        <v>108</v>
      </c>
      <c r="B16" s="16">
        <f>B15*B18</f>
        <v>137.3175</v>
      </c>
      <c r="C16" s="16">
        <f>C15*C18</f>
        <v>31.307500000000093</v>
      </c>
      <c r="D16" s="16">
        <f>D15*D18</f>
        <v>8.8059999999999476</v>
      </c>
      <c r="E16" s="16">
        <f>E15*E18</f>
        <v>-47.005000000000059</v>
      </c>
      <c r="F16" s="16">
        <f>F15*F18</f>
        <v>0.7</v>
      </c>
    </row>
    <row r="17" spans="1:6" ht="15.75" customHeight="1" x14ac:dyDescent="0.2">
      <c r="A17" s="3" t="s">
        <v>109</v>
      </c>
      <c r="B17" s="14">
        <v>-5</v>
      </c>
      <c r="C17" s="14">
        <v>-15</v>
      </c>
      <c r="D17" s="14">
        <v>-5</v>
      </c>
      <c r="E17" s="14">
        <v>20</v>
      </c>
      <c r="F17" s="14">
        <v>5</v>
      </c>
    </row>
    <row r="18" spans="1:6" ht="15.75" customHeight="1" x14ac:dyDescent="0.2">
      <c r="A18" s="5" t="s">
        <v>110</v>
      </c>
      <c r="B18" s="19">
        <v>0.42499999999999999</v>
      </c>
      <c r="C18" s="19">
        <v>0.35</v>
      </c>
      <c r="D18" s="19">
        <v>0.35</v>
      </c>
      <c r="E18" s="19">
        <v>0.35</v>
      </c>
      <c r="F18" s="19">
        <v>0.35</v>
      </c>
    </row>
    <row r="19" spans="1:6" ht="15.75" customHeight="1" x14ac:dyDescent="0.2">
      <c r="A19" s="3" t="s">
        <v>111</v>
      </c>
      <c r="B19" s="18">
        <f>B12</f>
        <v>401.6</v>
      </c>
      <c r="C19" s="18">
        <f>C12</f>
        <v>418.8</v>
      </c>
      <c r="D19" s="18">
        <f>D12</f>
        <v>436.1</v>
      </c>
      <c r="E19" s="18">
        <f>E12</f>
        <v>431</v>
      </c>
      <c r="F19" s="18">
        <f>F12</f>
        <v>450</v>
      </c>
    </row>
    <row r="20" spans="1:6" ht="15.75" customHeight="1" x14ac:dyDescent="0.2">
      <c r="A20" s="5" t="s">
        <v>112</v>
      </c>
      <c r="B20" s="16">
        <v>-18.600000000000001</v>
      </c>
      <c r="C20" s="16">
        <v>-11.2</v>
      </c>
      <c r="D20" s="16">
        <v>-9.1</v>
      </c>
      <c r="E20" s="16">
        <v>-48</v>
      </c>
      <c r="F20" s="16">
        <v>-13</v>
      </c>
    </row>
    <row r="21" spans="1:6" ht="15.75" customHeight="1" x14ac:dyDescent="0.2">
      <c r="A21" s="20" t="s">
        <v>113</v>
      </c>
      <c r="B21" s="21">
        <f>B12+B20</f>
        <v>383</v>
      </c>
      <c r="C21" s="21">
        <f>C12+C20</f>
        <v>407.6</v>
      </c>
      <c r="D21" s="21">
        <f>D12+D20</f>
        <v>427</v>
      </c>
      <c r="E21" s="21">
        <f>E12+E20</f>
        <v>383</v>
      </c>
      <c r="F21" s="21">
        <f>F12+F20</f>
        <v>437</v>
      </c>
    </row>
    <row r="22" spans="1:6" ht="3.75" customHeight="1" x14ac:dyDescent="0.2"/>
    <row r="23" spans="1:6" ht="15.75" customHeight="1" x14ac:dyDescent="0.2">
      <c r="A23" s="3" t="s">
        <v>114</v>
      </c>
      <c r="B23" s="9">
        <v>-75.2</v>
      </c>
      <c r="C23" s="9">
        <v>-76.951999999999998</v>
      </c>
      <c r="D23" s="9">
        <v>-71.900000000000006</v>
      </c>
      <c r="E23" s="9">
        <v>-69.2</v>
      </c>
      <c r="F23" s="9">
        <v>-66.7</v>
      </c>
    </row>
    <row r="24" spans="1:6" ht="15.75" customHeight="1" x14ac:dyDescent="0.2">
      <c r="A24" s="5" t="s">
        <v>115</v>
      </c>
      <c r="B24" s="22">
        <f>IFERROR(-B23/B41,"na")</f>
        <v>4.3149822265193531E-2</v>
      </c>
      <c r="C24" s="22">
        <f>IFERROR(-C23/C41,"na")</f>
        <v>5.0559789750328515E-2</v>
      </c>
      <c r="D24" s="22">
        <f>IFERROR(-D23/D41,"na")</f>
        <v>5.6927949326999211E-2</v>
      </c>
      <c r="E24" s="22">
        <f>IFERROR(-E23/E41,"na")</f>
        <v>7.723214285714286E-2</v>
      </c>
      <c r="F24" s="22">
        <f>IFERROR(-F23/F41,"na")</f>
        <v>7.0957446808510641E-2</v>
      </c>
    </row>
    <row r="25" spans="1:6" ht="15.75" customHeight="1" x14ac:dyDescent="0.2">
      <c r="A25" s="3" t="s">
        <v>116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</row>
    <row r="26" spans="1:6" ht="3.75" customHeight="1" x14ac:dyDescent="0.2"/>
    <row r="27" spans="1:6" ht="15.75" customHeight="1" x14ac:dyDescent="0.2">
      <c r="A27" s="5" t="s">
        <v>117</v>
      </c>
      <c r="B27" s="6">
        <v>326.36599999999999</v>
      </c>
      <c r="C27" s="6">
        <v>341.85</v>
      </c>
      <c r="D27" s="7">
        <f>D12+D23</f>
        <v>364.20000000000005</v>
      </c>
      <c r="E27" s="7">
        <f>E12+E23</f>
        <v>361.8</v>
      </c>
      <c r="F27" s="7">
        <f>F12+F23</f>
        <v>383.3</v>
      </c>
    </row>
    <row r="28" spans="1:6" ht="15.75" customHeight="1" x14ac:dyDescent="0.2">
      <c r="A28" s="3" t="s">
        <v>106</v>
      </c>
      <c r="B28" s="23">
        <v>0.19360973844538401</v>
      </c>
      <c r="C28" s="23">
        <f>C27/C9</f>
        <v>0.19257636017440877</v>
      </c>
      <c r="D28" s="23">
        <f>D27/D9</f>
        <v>0.20229961673054492</v>
      </c>
      <c r="E28" s="23">
        <f>E27/E9</f>
        <v>0.21716686674669869</v>
      </c>
      <c r="F28" s="23">
        <f>F27/F9</f>
        <v>0.22979616306954437</v>
      </c>
    </row>
    <row r="29" spans="1:6" ht="15.75" customHeight="1" x14ac:dyDescent="0.2">
      <c r="A29" s="5" t="s">
        <v>100</v>
      </c>
      <c r="B29" s="24"/>
      <c r="C29" s="24">
        <f>IFERROR(C27/B27-1,"na")</f>
        <v>4.744366753889806E-2</v>
      </c>
      <c r="D29" s="24">
        <f>IFERROR(D27/C27-1,"na")</f>
        <v>6.5379552435278709E-2</v>
      </c>
      <c r="E29" s="24">
        <f>IFERROR(E27/D27-1,"na")</f>
        <v>-6.5897858319605707E-3</v>
      </c>
      <c r="F29" s="24">
        <f>IFERROR(F27/E27-1,"na")</f>
        <v>5.942509673852947E-2</v>
      </c>
    </row>
    <row r="30" spans="1:6" ht="15.75" customHeight="1" x14ac:dyDescent="0.2">
      <c r="A30" s="3" t="s">
        <v>112</v>
      </c>
      <c r="B30" s="9">
        <v>-18.555000000000099</v>
      </c>
      <c r="C30" s="9">
        <f>C20</f>
        <v>-11.2</v>
      </c>
      <c r="D30" s="9">
        <f>D20</f>
        <v>-9.1</v>
      </c>
      <c r="E30" s="9">
        <f>E20</f>
        <v>-48</v>
      </c>
      <c r="F30" s="9">
        <f>F20</f>
        <v>-13</v>
      </c>
    </row>
    <row r="31" spans="1:6" ht="15.75" customHeight="1" x14ac:dyDescent="0.2">
      <c r="A31" s="5" t="s">
        <v>118</v>
      </c>
      <c r="B31" s="7">
        <f>B27+B30</f>
        <v>307.81099999999986</v>
      </c>
      <c r="C31" s="7">
        <f>C27+C30</f>
        <v>330.65000000000003</v>
      </c>
      <c r="D31" s="7">
        <f>D27+D30</f>
        <v>355.1</v>
      </c>
      <c r="E31" s="7">
        <f>E27+E30</f>
        <v>313.8</v>
      </c>
      <c r="F31" s="7">
        <f>F27+F30</f>
        <v>370.3</v>
      </c>
    </row>
    <row r="32" spans="1:6" ht="3.75" customHeight="1" x14ac:dyDescent="0.2"/>
    <row r="33" spans="1:6" ht="15.75" customHeight="1" x14ac:dyDescent="0.2">
      <c r="A33" s="3" t="s">
        <v>119</v>
      </c>
      <c r="B33" s="9">
        <f>B12+B23</f>
        <v>326.40000000000003</v>
      </c>
      <c r="C33" s="9">
        <f>C12+C23</f>
        <v>341.84800000000001</v>
      </c>
      <c r="D33" s="9">
        <f>D12+D23</f>
        <v>364.20000000000005</v>
      </c>
      <c r="E33" s="9">
        <f>E12+E23</f>
        <v>361.8</v>
      </c>
      <c r="F33" s="9">
        <f>F12+F23</f>
        <v>383.3</v>
      </c>
    </row>
    <row r="34" spans="1:6" ht="15.75" customHeight="1" x14ac:dyDescent="0.2">
      <c r="A34" s="5" t="s">
        <v>106</v>
      </c>
      <c r="B34" s="22">
        <f>IFERROR(B33/B9,"na")</f>
        <v>0.19362990822749143</v>
      </c>
      <c r="C34" s="22">
        <f>IFERROR(C33/C9,"na")</f>
        <v>0.19257523350270961</v>
      </c>
      <c r="D34" s="22">
        <f>IFERROR(D33/D9,"na")</f>
        <v>0.20229961673054492</v>
      </c>
      <c r="E34" s="22">
        <f>IFERROR(E33/E9,"na")</f>
        <v>0.21716686674669869</v>
      </c>
      <c r="F34" s="22">
        <f>IFERROR(F33/F9,"na")</f>
        <v>0.22979616306954437</v>
      </c>
    </row>
    <row r="35" spans="1:6" ht="15.75" customHeight="1" x14ac:dyDescent="0.2">
      <c r="A35" s="3" t="s">
        <v>100</v>
      </c>
      <c r="B35" s="23" t="str">
        <f>IFERROR(B33/A33-1,"na")</f>
        <v>na</v>
      </c>
      <c r="C35" s="23">
        <f>IFERROR(C33/B33-1,"na")</f>
        <v>4.7328431372549051E-2</v>
      </c>
      <c r="D35" s="23">
        <f>IFERROR(D33/C33-1,"na")</f>
        <v>6.5385785495307935E-2</v>
      </c>
      <c r="E35" s="23">
        <f>IFERROR(E33/D33-1,"na")</f>
        <v>-6.5897858319605707E-3</v>
      </c>
      <c r="F35" s="23">
        <f>IFERROR(F33/E33-1,"na")</f>
        <v>5.942509673852947E-2</v>
      </c>
    </row>
    <row r="36" spans="1:6" ht="15.75" customHeight="1" x14ac:dyDescent="0.2">
      <c r="A36" s="5" t="s">
        <v>120</v>
      </c>
      <c r="B36" s="7">
        <f>B30</f>
        <v>-18.555000000000099</v>
      </c>
      <c r="C36" s="7">
        <f>C30</f>
        <v>-11.2</v>
      </c>
      <c r="D36" s="7">
        <f>D30</f>
        <v>-9.1</v>
      </c>
      <c r="E36" s="7">
        <f>E30</f>
        <v>-48</v>
      </c>
      <c r="F36" s="7">
        <f>F30</f>
        <v>-13</v>
      </c>
    </row>
    <row r="37" spans="1:6" ht="15.75" customHeight="1" x14ac:dyDescent="0.2">
      <c r="A37" s="20" t="s">
        <v>121</v>
      </c>
      <c r="B37" s="21">
        <f>B33+B36</f>
        <v>307.84499999999991</v>
      </c>
      <c r="C37" s="21">
        <f>C33+C36</f>
        <v>330.64800000000002</v>
      </c>
      <c r="D37" s="21">
        <f>D33+D36</f>
        <v>355.1</v>
      </c>
      <c r="E37" s="21">
        <f>E33+E36</f>
        <v>313.8</v>
      </c>
      <c r="F37" s="21">
        <f>F33+F36</f>
        <v>370.3</v>
      </c>
    </row>
    <row r="38" spans="1:6" ht="3.75" customHeight="1" x14ac:dyDescent="0.2"/>
    <row r="39" spans="1:6" ht="15.75" customHeight="1" x14ac:dyDescent="0.2">
      <c r="A39" s="3" t="s">
        <v>122</v>
      </c>
      <c r="B39" s="9">
        <v>3356.473</v>
      </c>
      <c r="C39" s="9">
        <v>2934.2420000000002</v>
      </c>
      <c r="D39" s="9">
        <v>2320.1999999999998</v>
      </c>
      <c r="E39" s="9">
        <v>2184.17</v>
      </c>
      <c r="F39" s="9"/>
    </row>
    <row r="40" spans="1:6" ht="15.75" customHeight="1" x14ac:dyDescent="0.2">
      <c r="A40" s="5" t="s">
        <v>123</v>
      </c>
      <c r="B40" s="7">
        <v>1858.32</v>
      </c>
      <c r="C40" s="7">
        <v>1423.712</v>
      </c>
      <c r="D40" s="7">
        <v>1389.576</v>
      </c>
      <c r="E40" s="7">
        <v>1365.34</v>
      </c>
      <c r="F40" s="7"/>
    </row>
    <row r="41" spans="1:6" ht="15.75" customHeight="1" x14ac:dyDescent="0.2">
      <c r="A41" s="3" t="s">
        <v>124</v>
      </c>
      <c r="B41" s="9">
        <v>1742.7650000000001</v>
      </c>
      <c r="C41" s="9">
        <v>1522</v>
      </c>
      <c r="D41" s="9">
        <v>1263</v>
      </c>
      <c r="E41" s="9">
        <v>896</v>
      </c>
      <c r="F41" s="9">
        <v>940</v>
      </c>
    </row>
    <row r="42" spans="1:6" ht="15.75" customHeight="1" x14ac:dyDescent="0.2">
      <c r="A42" s="5" t="s">
        <v>125</v>
      </c>
      <c r="B42" s="22">
        <f>IFERROR((B37*(1-'P&amp;L'!B74))/B41,"na")</f>
        <v>0.13354113721586097</v>
      </c>
      <c r="C42" s="22">
        <f>IFERROR((C37*(1-'P&amp;L'!C74))/C41,"na")</f>
        <v>0.17292760052562423</v>
      </c>
      <c r="D42" s="22">
        <f>IFERROR((D37*(1-'P&amp;L'!D74))/D41,"na")</f>
        <v>0.2103046714172605</v>
      </c>
      <c r="E42" s="22">
        <f>IFERROR((E37*(1-'P&amp;L'!E74))/E41,"na")</f>
        <v>0.24795803571428571</v>
      </c>
      <c r="F42" s="22">
        <f>IFERROR((F37*(1-'P&amp;L'!F74))/F41,"na")</f>
        <v>0.29111882978723402</v>
      </c>
    </row>
    <row r="43" spans="1:6" ht="15.75" customHeight="1" x14ac:dyDescent="0.2">
      <c r="A43" s="3" t="s">
        <v>126</v>
      </c>
      <c r="B43" s="25">
        <f>IFERROR(B9/B41,"na")</f>
        <v>0.96725031774220849</v>
      </c>
      <c r="C43" s="25">
        <f>IFERROR(C9/C41,"na")</f>
        <v>1.1663206307490146</v>
      </c>
      <c r="D43" s="25">
        <f>IFERROR(D9/D41,"na")</f>
        <v>1.42541567695962</v>
      </c>
      <c r="E43" s="25">
        <f>IFERROR(E9/E41,"na")</f>
        <v>1.859375</v>
      </c>
      <c r="F43" s="25">
        <f>IFERROR(F9/F41,"na")</f>
        <v>1.774468085106383</v>
      </c>
    </row>
    <row r="44" spans="1:6" ht="15.75" customHeight="1" x14ac:dyDescent="0.2">
      <c r="A44" s="5" t="s">
        <v>127</v>
      </c>
      <c r="B44" s="7">
        <v>1551.4939999999999</v>
      </c>
      <c r="C44" s="7">
        <v>1564</v>
      </c>
      <c r="D44" s="7">
        <v>1014</v>
      </c>
      <c r="E44" s="7">
        <v>906</v>
      </c>
      <c r="F44" s="7">
        <v>1035</v>
      </c>
    </row>
    <row r="45" spans="1:6" ht="15.75" customHeight="1" x14ac:dyDescent="0.2">
      <c r="A45" s="3" t="s">
        <v>128</v>
      </c>
      <c r="B45" s="23">
        <f>IFERROR((B33*(1-'P&amp;L'!B74))/B44,"na")</f>
        <v>0.15904566823977406</v>
      </c>
      <c r="C45" s="23">
        <f>IFERROR((C33*(1-'P&amp;L'!C74))/C44,"na")</f>
        <v>0.17398402046035807</v>
      </c>
      <c r="D45" s="23">
        <f>IFERROR((D33*(1-'P&amp;L'!D74))/D44,"na")</f>
        <v>0.2686603550295858</v>
      </c>
      <c r="E45" s="23">
        <f>IFERROR((E33*(1-'P&amp;L'!E74))/E44,"na")</f>
        <v>0.28273112582781457</v>
      </c>
      <c r="F45" s="23">
        <f>IFERROR((F33*(1-'P&amp;L'!F74))/F44,"na")</f>
        <v>0.27367990338164255</v>
      </c>
    </row>
    <row r="46" spans="1:6" ht="15.75" customHeight="1" x14ac:dyDescent="0.2">
      <c r="A46" s="5" t="s">
        <v>129</v>
      </c>
      <c r="B46" s="26">
        <f>IFERROR(B9/B44,"na")</f>
        <v>1.0864946947909564</v>
      </c>
      <c r="C46" s="26">
        <f>IFERROR(C9/C44,"na")</f>
        <v>1.1350000000000002</v>
      </c>
      <c r="D46" s="26">
        <f>IFERROR(D9/D44,"na")</f>
        <v>1.7754437869822488</v>
      </c>
      <c r="E46" s="26">
        <f>IFERROR(E9/E44,"na")</f>
        <v>1.8388520971302429</v>
      </c>
      <c r="F46" s="26">
        <f>IFERROR(F9/F44,"na")</f>
        <v>1.6115942028985508</v>
      </c>
    </row>
    <row r="47" spans="1:6" ht="15.75" customHeight="1" x14ac:dyDescent="0.2">
      <c r="A47" s="20" t="s">
        <v>130</v>
      </c>
      <c r="B47" s="21">
        <v>-141.6</v>
      </c>
      <c r="C47" s="21">
        <v>-139</v>
      </c>
      <c r="D47" s="21">
        <v>-128</v>
      </c>
      <c r="E47" s="21">
        <v>-105</v>
      </c>
      <c r="F47" s="21">
        <v>-86</v>
      </c>
    </row>
    <row r="48" spans="1:6" ht="15.75" customHeight="1" x14ac:dyDescent="0.2">
      <c r="A48" s="3" t="s">
        <v>131</v>
      </c>
      <c r="B48" s="9">
        <v>-70.052000000000007</v>
      </c>
      <c r="C48" s="9">
        <v>-67.400000000000006</v>
      </c>
      <c r="D48" s="9">
        <v>-75.7</v>
      </c>
      <c r="E48" s="9">
        <v>-78</v>
      </c>
      <c r="F48" s="9">
        <v>-65</v>
      </c>
    </row>
    <row r="49" spans="1:6" ht="15.75" customHeight="1" x14ac:dyDescent="0.2">
      <c r="A49" s="5" t="s">
        <v>132</v>
      </c>
      <c r="B49" s="27">
        <f>B48/B23</f>
        <v>0.93154255319148938</v>
      </c>
      <c r="C49" s="27">
        <f>C48/C23</f>
        <v>0.87587067262709228</v>
      </c>
      <c r="D49" s="27">
        <f>D48/D23</f>
        <v>1.0528511821974964</v>
      </c>
      <c r="E49" s="27">
        <f>E48/E23</f>
        <v>1.1271676300578035</v>
      </c>
      <c r="F49" s="27">
        <f>F48/F23</f>
        <v>0.97451274362818585</v>
      </c>
    </row>
    <row r="50" spans="1:6" ht="15.75" customHeight="1" x14ac:dyDescent="0.2">
      <c r="A50" s="3" t="s">
        <v>133</v>
      </c>
      <c r="B50" s="9" t="s">
        <v>101</v>
      </c>
      <c r="C50" s="23">
        <f>-C48/B44</f>
        <v>4.3441998486619997E-2</v>
      </c>
      <c r="D50" s="23">
        <f>-D48/C44</f>
        <v>4.8401534526854223E-2</v>
      </c>
      <c r="E50" s="23">
        <f>-E48/D44</f>
        <v>7.6923076923076927E-2</v>
      </c>
      <c r="F50" s="23">
        <f>-F48/E44</f>
        <v>7.1743929359823405E-2</v>
      </c>
    </row>
    <row r="51" spans="1:6" ht="15.75" customHeight="1" x14ac:dyDescent="0.2">
      <c r="A51" s="5" t="s">
        <v>134</v>
      </c>
      <c r="B51" s="7">
        <f>(B27*(1-'P&amp;L'!B74)-B23+B48)</f>
        <v>251.880696</v>
      </c>
      <c r="C51" s="7">
        <f>(C27*(1-'P&amp;L'!C74)-C23+C48)</f>
        <v>281.66460000000006</v>
      </c>
      <c r="D51" s="7">
        <f>(D27*(1-'P&amp;L'!D74)-D23+D48)</f>
        <v>268.6216</v>
      </c>
      <c r="E51" s="7">
        <f>(E27*(1-'P&amp;L'!E74)-E23+E48)</f>
        <v>247.3544</v>
      </c>
      <c r="F51" s="7">
        <f>(F27*(1-'P&amp;L'!F74)-F23+F48)</f>
        <v>284.95870000000002</v>
      </c>
    </row>
    <row r="52" spans="1:6" ht="18.75" customHeight="1" x14ac:dyDescent="0.2"/>
    <row r="53" spans="1:6" ht="15.75" customHeight="1" x14ac:dyDescent="0.2">
      <c r="A53" s="12" t="s">
        <v>135</v>
      </c>
      <c r="B53" s="9"/>
      <c r="C53" s="9"/>
      <c r="D53" s="9"/>
      <c r="E53" s="9"/>
      <c r="F53" s="9"/>
    </row>
    <row r="54" spans="1:6" ht="15.75" customHeight="1" x14ac:dyDescent="0.2">
      <c r="A54" s="5" t="s">
        <v>99</v>
      </c>
      <c r="B54" s="7">
        <v>3478.36</v>
      </c>
      <c r="C54" s="7">
        <v>4957.4799999999996</v>
      </c>
      <c r="D54" s="7">
        <v>3380.2</v>
      </c>
      <c r="E54" s="7">
        <f>E55+E56</f>
        <v>2531</v>
      </c>
      <c r="F54" s="7">
        <f>F55+F56</f>
        <v>2613</v>
      </c>
    </row>
    <row r="55" spans="1:6" ht="15.75" customHeight="1" x14ac:dyDescent="0.2">
      <c r="A55" s="5" t="s">
        <v>136</v>
      </c>
      <c r="B55" s="7"/>
      <c r="C55" s="7"/>
      <c r="D55" s="7"/>
      <c r="E55" s="7">
        <v>1108</v>
      </c>
      <c r="F55" s="7">
        <v>1049</v>
      </c>
    </row>
    <row r="56" spans="1:6" ht="15.75" customHeight="1" x14ac:dyDescent="0.2">
      <c r="A56" s="5" t="s">
        <v>137</v>
      </c>
      <c r="B56" s="7"/>
      <c r="C56" s="7"/>
      <c r="D56" s="7"/>
      <c r="E56" s="7">
        <v>1423</v>
      </c>
      <c r="F56" s="7">
        <v>1564</v>
      </c>
    </row>
    <row r="57" spans="1:6" ht="15.75" customHeight="1" x14ac:dyDescent="0.2">
      <c r="A57" s="3" t="s">
        <v>100</v>
      </c>
      <c r="B57" s="9" t="s">
        <v>101</v>
      </c>
      <c r="C57" s="23">
        <f>C54/B54-1</f>
        <v>0.42523488080589678</v>
      </c>
      <c r="D57" s="23">
        <f>D54/C54-1</f>
        <v>-0.31816164664305246</v>
      </c>
      <c r="E57" s="23">
        <f>E54/D54-1</f>
        <v>-0.25122773800366838</v>
      </c>
      <c r="F57" s="23">
        <f>F54/E54-1</f>
        <v>3.2398261556696895E-2</v>
      </c>
    </row>
    <row r="58" spans="1:6" ht="15.75" customHeight="1" x14ac:dyDescent="0.2">
      <c r="A58" s="5" t="s">
        <v>138</v>
      </c>
      <c r="B58" s="7" t="s">
        <v>101</v>
      </c>
      <c r="C58" s="22">
        <f>C57-C63</f>
        <v>0.33662466451505479</v>
      </c>
      <c r="D58" s="22">
        <f>D57-D63</f>
        <v>-0.15306262104646817</v>
      </c>
      <c r="E58" s="22">
        <f>E57-E63</f>
        <v>-0.12417663626902231</v>
      </c>
      <c r="F58" s="22">
        <f>F57-F63</f>
        <v>-3.5270911375633984E-2</v>
      </c>
    </row>
    <row r="59" spans="1:6" ht="15.75" customHeight="1" x14ac:dyDescent="0.2">
      <c r="A59" s="3" t="s">
        <v>103</v>
      </c>
      <c r="B59" s="9">
        <v>-2304.94</v>
      </c>
      <c r="C59" s="9">
        <v>-3680.0830000000001</v>
      </c>
      <c r="D59" s="9">
        <f>1066.5-D54</f>
        <v>-2313.6999999999998</v>
      </c>
      <c r="E59" s="9">
        <f>922.03-E54</f>
        <v>-1608.97</v>
      </c>
      <c r="F59" s="9">
        <f>994-F54</f>
        <v>-1619</v>
      </c>
    </row>
    <row r="60" spans="1:6" ht="15.75" customHeight="1" x14ac:dyDescent="0.2">
      <c r="A60" s="5" t="s">
        <v>139</v>
      </c>
      <c r="B60" s="7">
        <v>1173.42</v>
      </c>
      <c r="C60" s="7">
        <v>1277.3969999999999</v>
      </c>
      <c r="D60" s="7">
        <v>1066.5</v>
      </c>
      <c r="E60" s="7">
        <f>E61+E62</f>
        <v>931</v>
      </c>
      <c r="F60" s="7">
        <f>F61+F62</f>
        <v>994</v>
      </c>
    </row>
    <row r="61" spans="1:6" ht="15.75" customHeight="1" x14ac:dyDescent="0.2">
      <c r="A61" s="5" t="s">
        <v>136</v>
      </c>
      <c r="B61" s="7"/>
      <c r="C61" s="7"/>
      <c r="D61" s="7"/>
      <c r="E61" s="7">
        <v>395</v>
      </c>
      <c r="F61" s="7">
        <v>436</v>
      </c>
    </row>
    <row r="62" spans="1:6" ht="15.75" customHeight="1" x14ac:dyDescent="0.2">
      <c r="A62" s="5" t="s">
        <v>137</v>
      </c>
      <c r="B62" s="7"/>
      <c r="C62" s="7"/>
      <c r="D62" s="7"/>
      <c r="E62" s="7">
        <v>536</v>
      </c>
      <c r="F62" s="7">
        <v>558</v>
      </c>
    </row>
    <row r="63" spans="1:6" ht="15.75" customHeight="1" x14ac:dyDescent="0.2">
      <c r="A63" s="3" t="s">
        <v>100</v>
      </c>
      <c r="B63" s="9"/>
      <c r="C63" s="23">
        <f>IFERROR(C60/B60-1,"na")</f>
        <v>8.8610216290841981E-2</v>
      </c>
      <c r="D63" s="23">
        <f>IFERROR(D60/C60-1,"na")</f>
        <v>-0.16509902559658429</v>
      </c>
      <c r="E63" s="23">
        <f>IFERROR(E60/D60-1,"na")</f>
        <v>-0.12705110173464607</v>
      </c>
      <c r="F63" s="23">
        <f>IFERROR(F60/E60-1,"na")</f>
        <v>6.7669172932330879E-2</v>
      </c>
    </row>
    <row r="64" spans="1:6" ht="3.75" customHeight="1" x14ac:dyDescent="0.2"/>
    <row r="65" spans="1:6" ht="15.75" customHeight="1" x14ac:dyDescent="0.2">
      <c r="A65" s="5" t="s">
        <v>140</v>
      </c>
      <c r="B65" s="7">
        <v>261.79500000000002</v>
      </c>
      <c r="C65" s="7">
        <v>290.20699999999999</v>
      </c>
      <c r="D65" s="7">
        <v>259.3</v>
      </c>
      <c r="E65" s="7">
        <f>E66+E67</f>
        <v>48</v>
      </c>
      <c r="F65" s="7">
        <f>F66+F67</f>
        <v>87</v>
      </c>
    </row>
    <row r="66" spans="1:6" ht="15.75" customHeight="1" x14ac:dyDescent="0.2">
      <c r="A66" s="5" t="s">
        <v>141</v>
      </c>
      <c r="B66" s="7"/>
      <c r="C66" s="7"/>
      <c r="D66" s="7"/>
      <c r="E66" s="7">
        <v>-49</v>
      </c>
      <c r="F66" s="7">
        <v>-21</v>
      </c>
    </row>
    <row r="67" spans="1:6" ht="15.75" customHeight="1" x14ac:dyDescent="0.2">
      <c r="A67" s="5" t="s">
        <v>142</v>
      </c>
      <c r="B67" s="7"/>
      <c r="C67" s="7"/>
      <c r="D67" s="7"/>
      <c r="E67" s="7">
        <v>97</v>
      </c>
      <c r="F67" s="7">
        <v>108</v>
      </c>
    </row>
    <row r="68" spans="1:6" ht="15.75" customHeight="1" x14ac:dyDescent="0.2">
      <c r="A68" s="3" t="s">
        <v>106</v>
      </c>
      <c r="B68" s="23">
        <f>IFERROR(B65/B60,"na")</f>
        <v>0.22310425934448025</v>
      </c>
      <c r="C68" s="23">
        <f>IFERROR(C65/C60,"na")</f>
        <v>0.22718622323365406</v>
      </c>
      <c r="D68" s="23">
        <f>IFERROR(D65/D60,"na")</f>
        <v>0.24313173933427099</v>
      </c>
      <c r="E68" s="23">
        <f>IFERROR(E65/E60,"na")</f>
        <v>5.155746509129968E-2</v>
      </c>
      <c r="F68" s="23">
        <f>IFERROR(F65/F60,"na")</f>
        <v>8.75251509054326E-2</v>
      </c>
    </row>
    <row r="69" spans="1:6" ht="15.75" customHeight="1" x14ac:dyDescent="0.2">
      <c r="A69" s="5" t="s">
        <v>100</v>
      </c>
      <c r="B69" s="7" t="s">
        <v>101</v>
      </c>
      <c r="C69" s="22">
        <f>IFERROR(C65/B65-1,"na")</f>
        <v>0.10852766477587417</v>
      </c>
      <c r="D69" s="22">
        <f>IFERROR(D65/C65-1,"na")</f>
        <v>-0.10649984321535999</v>
      </c>
      <c r="E69" s="22">
        <f>IFERROR(E65/D65-1,"na")</f>
        <v>-0.81488623216351719</v>
      </c>
      <c r="F69" s="22">
        <f>IFERROR(F65/E65-1,"na")</f>
        <v>0.8125</v>
      </c>
    </row>
    <row r="70" spans="1:6" ht="15.75" hidden="1" customHeight="1" x14ac:dyDescent="0.2">
      <c r="A70" s="3" t="s">
        <v>143</v>
      </c>
      <c r="B70" s="9"/>
      <c r="C70" s="9"/>
      <c r="D70" s="9"/>
      <c r="E70" s="9"/>
      <c r="F70" s="9"/>
    </row>
    <row r="71" spans="1:6" ht="15.75" hidden="1" customHeight="1" x14ac:dyDescent="0.2">
      <c r="A71" s="5" t="s">
        <v>107</v>
      </c>
      <c r="B71" s="7"/>
      <c r="C71" s="7"/>
      <c r="D71" s="7"/>
      <c r="E71" s="7"/>
      <c r="F71" s="7"/>
    </row>
    <row r="72" spans="1:6" ht="15.75" hidden="1" customHeight="1" x14ac:dyDescent="0.2">
      <c r="A72" s="3" t="s">
        <v>108</v>
      </c>
      <c r="B72" s="9"/>
      <c r="C72" s="9"/>
      <c r="D72" s="9"/>
      <c r="E72" s="9"/>
      <c r="F72" s="9"/>
    </row>
    <row r="73" spans="1:6" ht="15.75" hidden="1" customHeight="1" x14ac:dyDescent="0.2">
      <c r="A73" s="5" t="s">
        <v>110</v>
      </c>
      <c r="B73" s="7"/>
      <c r="C73" s="7"/>
      <c r="D73" s="7"/>
      <c r="E73" s="7"/>
      <c r="F73" s="7"/>
    </row>
    <row r="74" spans="1:6" ht="15.75" hidden="1" customHeight="1" x14ac:dyDescent="0.2">
      <c r="A74" s="3" t="s">
        <v>111</v>
      </c>
      <c r="B74" s="9"/>
      <c r="C74" s="9"/>
      <c r="D74" s="9"/>
      <c r="E74" s="9"/>
      <c r="F74" s="9"/>
    </row>
    <row r="75" spans="1:6" ht="15.75" customHeight="1" x14ac:dyDescent="0.2">
      <c r="A75" s="5" t="s">
        <v>120</v>
      </c>
      <c r="B75" s="7">
        <f>263.114-261.795</f>
        <v>1.31899999999996</v>
      </c>
      <c r="C75" s="7">
        <f>292.303-C65</f>
        <v>2.0960000000000036</v>
      </c>
      <c r="D75" s="7">
        <v>-31.9</v>
      </c>
      <c r="E75" s="7">
        <f>E76+E65</f>
        <v>-1587</v>
      </c>
      <c r="F75" s="7">
        <v>-2</v>
      </c>
    </row>
    <row r="76" spans="1:6" ht="15.75" customHeight="1" x14ac:dyDescent="0.2">
      <c r="A76" s="20" t="s">
        <v>113</v>
      </c>
      <c r="B76" s="21">
        <f>B65+B75</f>
        <v>263.11399999999998</v>
      </c>
      <c r="C76" s="21">
        <f>C65+C75</f>
        <v>292.303</v>
      </c>
      <c r="D76" s="28">
        <f>D65+D75</f>
        <v>227.4</v>
      </c>
      <c r="E76" s="21">
        <f>E77+E78</f>
        <v>-1635</v>
      </c>
      <c r="F76" s="21">
        <f>F77+F78</f>
        <v>85</v>
      </c>
    </row>
    <row r="77" spans="1:6" ht="15.75" customHeight="1" x14ac:dyDescent="0.2">
      <c r="A77" s="20" t="s">
        <v>144</v>
      </c>
      <c r="B77" s="21"/>
      <c r="C77" s="21"/>
      <c r="D77" s="28"/>
      <c r="E77" s="21">
        <v>-1721</v>
      </c>
      <c r="F77" s="21">
        <v>-2</v>
      </c>
    </row>
    <row r="78" spans="1:6" ht="18.75" customHeight="1" x14ac:dyDescent="0.2">
      <c r="A78" s="20" t="s">
        <v>145</v>
      </c>
      <c r="B78" s="21"/>
      <c r="C78" s="21"/>
      <c r="D78" s="28"/>
      <c r="E78" s="21">
        <v>86</v>
      </c>
      <c r="F78" s="21">
        <v>87</v>
      </c>
    </row>
    <row r="79" spans="1:6" ht="15.75" customHeight="1" x14ac:dyDescent="0.2">
      <c r="A79" s="3" t="s">
        <v>114</v>
      </c>
      <c r="B79" s="29">
        <f>B109-B76</f>
        <v>-122.61399999999998</v>
      </c>
      <c r="C79" s="29">
        <f>C109-C76</f>
        <v>-123.803</v>
      </c>
      <c r="D79" s="29">
        <f>D109-D76</f>
        <v>-132.19999999999999</v>
      </c>
      <c r="E79" s="29">
        <f>E80+E81</f>
        <v>-116</v>
      </c>
      <c r="F79" s="29">
        <f>F80+F81</f>
        <v>-103</v>
      </c>
    </row>
    <row r="80" spans="1:6" ht="15.75" customHeight="1" x14ac:dyDescent="0.2">
      <c r="A80" s="3" t="s">
        <v>146</v>
      </c>
      <c r="B80" s="29"/>
      <c r="C80" s="29"/>
      <c r="D80" s="29"/>
      <c r="E80" s="29">
        <f>E110-E77</f>
        <v>-85</v>
      </c>
      <c r="F80" s="29">
        <f>F110-F77</f>
        <v>-71</v>
      </c>
    </row>
    <row r="81" spans="1:6" ht="15.75" customHeight="1" x14ac:dyDescent="0.2">
      <c r="A81" s="3" t="s">
        <v>147</v>
      </c>
      <c r="B81" s="29"/>
      <c r="C81" s="29"/>
      <c r="D81" s="29"/>
      <c r="E81" s="29">
        <f>E111-E78</f>
        <v>-31</v>
      </c>
      <c r="F81" s="29">
        <f>F111-F78</f>
        <v>-32</v>
      </c>
    </row>
    <row r="82" spans="1:6" ht="15.75" customHeight="1" x14ac:dyDescent="0.2">
      <c r="A82" s="5" t="s">
        <v>115</v>
      </c>
      <c r="B82" s="30">
        <f>-B79/B114</f>
        <v>5.5792624383780298E-2</v>
      </c>
      <c r="C82" s="30">
        <f>-C79/C114</f>
        <v>4.9560848678943156E-2</v>
      </c>
      <c r="D82" s="30">
        <f>-D79/D114</f>
        <v>4.1403069213905415E-2</v>
      </c>
      <c r="E82" s="30">
        <f>-E79/E114</f>
        <v>4.5089009981385236E-2</v>
      </c>
      <c r="F82" s="30">
        <f>-F79/F114</f>
        <v>3.9860681114551086E-2</v>
      </c>
    </row>
    <row r="83" spans="1:6" ht="15.75" customHeight="1" x14ac:dyDescent="0.2">
      <c r="A83" s="3" t="s">
        <v>148</v>
      </c>
      <c r="B83" s="31">
        <f>B79/'P&amp;L'!B32</f>
        <v>0.43863559124975404</v>
      </c>
      <c r="C83" s="31">
        <f>C79/'P&amp;L'!C32</f>
        <v>0.43298056880656938</v>
      </c>
      <c r="D83" s="31">
        <f>D79/'P&amp;L'!D32</f>
        <v>0.44273275284661756</v>
      </c>
      <c r="E83" s="31">
        <f>E79/'P&amp;L'!E32</f>
        <v>0.40658955485453907</v>
      </c>
      <c r="F83" s="31">
        <f>F79/'P&amp;L'!F32</f>
        <v>0.38475905864774002</v>
      </c>
    </row>
    <row r="84" spans="1:6" ht="15.75" customHeight="1" x14ac:dyDescent="0.2">
      <c r="A84" s="5" t="s">
        <v>116</v>
      </c>
      <c r="B84" s="32">
        <v>0</v>
      </c>
      <c r="C84" s="32">
        <v>0</v>
      </c>
      <c r="D84" s="32">
        <v>0</v>
      </c>
      <c r="E84" s="32">
        <v>0</v>
      </c>
      <c r="F84" s="32">
        <v>0</v>
      </c>
    </row>
    <row r="85" spans="1:6" ht="3.75" customHeight="1" x14ac:dyDescent="0.2">
      <c r="B85" s="33"/>
      <c r="C85" s="33"/>
      <c r="D85" s="33"/>
      <c r="E85" s="33"/>
      <c r="F85" s="33"/>
    </row>
    <row r="86" spans="1:6" ht="15.75" customHeight="1" x14ac:dyDescent="0.2">
      <c r="A86" s="3" t="s">
        <v>117</v>
      </c>
      <c r="B86" s="29">
        <v>131.523</v>
      </c>
      <c r="C86" s="29">
        <v>161.5</v>
      </c>
      <c r="D86" s="29">
        <f>D98-D95</f>
        <v>129.75900000000001</v>
      </c>
      <c r="E86" s="29">
        <f>E98-E95</f>
        <v>-16.97</v>
      </c>
      <c r="F86" s="29">
        <f>F98-F95</f>
        <v>15</v>
      </c>
    </row>
    <row r="87" spans="1:6" ht="15.75" customHeight="1" x14ac:dyDescent="0.2">
      <c r="A87" s="3" t="s">
        <v>149</v>
      </c>
      <c r="B87" s="29"/>
      <c r="C87" s="29"/>
      <c r="D87" s="29"/>
      <c r="E87" s="29"/>
      <c r="F87" s="29"/>
    </row>
    <row r="88" spans="1:6" ht="15.75" customHeight="1" x14ac:dyDescent="0.2">
      <c r="A88" s="3" t="s">
        <v>150</v>
      </c>
      <c r="B88" s="29"/>
      <c r="C88" s="29"/>
      <c r="D88" s="29"/>
      <c r="E88" s="29"/>
      <c r="F88" s="29"/>
    </row>
    <row r="89" spans="1:6" ht="15.75" customHeight="1" x14ac:dyDescent="0.2">
      <c r="A89" s="5" t="s">
        <v>106</v>
      </c>
      <c r="B89" s="30">
        <f>B86/B60</f>
        <v>0.11208518688960474</v>
      </c>
      <c r="C89" s="30">
        <f>C86/C60</f>
        <v>0.1264289801839209</v>
      </c>
      <c r="D89" s="30">
        <f>D86/D60</f>
        <v>0.12166807313642758</v>
      </c>
      <c r="E89" s="30">
        <f>E86/E60</f>
        <v>-1.8227712137486571E-2</v>
      </c>
      <c r="F89" s="30">
        <f>F86/F60</f>
        <v>1.5090543259557344E-2</v>
      </c>
    </row>
    <row r="90" spans="1:6" ht="15.75" customHeight="1" x14ac:dyDescent="0.2">
      <c r="A90" s="3" t="s">
        <v>100</v>
      </c>
      <c r="B90" s="31" t="s">
        <v>101</v>
      </c>
      <c r="C90" s="31">
        <f>IFERROR(C86/B86-1,"na")</f>
        <v>0.22792211248222749</v>
      </c>
      <c r="D90" s="31">
        <f>IFERROR(D86/C86-1,"na")</f>
        <v>-0.19653869969040239</v>
      </c>
      <c r="E90" s="31">
        <f>IFERROR(E86/D86-1,"na")</f>
        <v>-1.1307809092240229</v>
      </c>
      <c r="F90" s="31">
        <f>F86/E86-1</f>
        <v>-1.8839127872716559</v>
      </c>
    </row>
    <row r="91" spans="1:6" ht="15.75" customHeight="1" x14ac:dyDescent="0.2">
      <c r="A91" s="5" t="s">
        <v>112</v>
      </c>
      <c r="B91" s="32">
        <f>B75</f>
        <v>1.31899999999996</v>
      </c>
      <c r="C91" s="32">
        <f>C75</f>
        <v>2.0960000000000036</v>
      </c>
      <c r="D91" s="32">
        <f>D75</f>
        <v>-31.9</v>
      </c>
      <c r="E91" s="32">
        <f>E109-E98</f>
        <v>-1683</v>
      </c>
      <c r="F91" s="32">
        <f>F75</f>
        <v>-2</v>
      </c>
    </row>
    <row r="92" spans="1:6" ht="15.75" customHeight="1" x14ac:dyDescent="0.2">
      <c r="A92" s="3" t="s">
        <v>118</v>
      </c>
      <c r="B92" s="29">
        <f>B86+B91</f>
        <v>132.84199999999996</v>
      </c>
      <c r="C92" s="29">
        <f>C86+C91</f>
        <v>163.596</v>
      </c>
      <c r="D92" s="29">
        <f>D86+D91</f>
        <v>97.859000000000009</v>
      </c>
      <c r="E92" s="29">
        <f>E86+E91</f>
        <v>-1699.97</v>
      </c>
      <c r="F92" s="29">
        <f>F86+F91</f>
        <v>13</v>
      </c>
    </row>
    <row r="93" spans="1:6" ht="3.75" customHeight="1" x14ac:dyDescent="0.2">
      <c r="B93" s="33"/>
      <c r="C93" s="33"/>
      <c r="D93" s="33"/>
      <c r="E93" s="33"/>
      <c r="F93" s="33"/>
    </row>
    <row r="94" spans="1:6" ht="3.75" customHeight="1" x14ac:dyDescent="0.2">
      <c r="B94" s="33"/>
      <c r="C94" s="33"/>
      <c r="D94" s="33"/>
      <c r="E94" s="33"/>
      <c r="F94" s="33"/>
    </row>
    <row r="95" spans="1:6" ht="15.75" customHeight="1" x14ac:dyDescent="0.2">
      <c r="A95" s="5" t="s">
        <v>151</v>
      </c>
      <c r="B95" s="32">
        <v>7.6589999999999998</v>
      </c>
      <c r="C95" s="32">
        <v>4.9000000000000004</v>
      </c>
      <c r="D95" s="32">
        <v>-2.6</v>
      </c>
      <c r="E95" s="32">
        <v>-51.03</v>
      </c>
      <c r="F95" s="32">
        <v>-30</v>
      </c>
    </row>
    <row r="96" spans="1:6" ht="15.75" customHeight="1" x14ac:dyDescent="0.2">
      <c r="A96" s="3" t="s">
        <v>120</v>
      </c>
      <c r="B96" s="29">
        <v>0</v>
      </c>
      <c r="C96" s="29">
        <v>0</v>
      </c>
      <c r="D96" s="29">
        <v>0</v>
      </c>
      <c r="E96" s="29">
        <v>0</v>
      </c>
      <c r="F96" s="29">
        <v>0</v>
      </c>
    </row>
    <row r="97" spans="1:6" ht="3.75" customHeight="1" x14ac:dyDescent="0.2">
      <c r="B97" s="33"/>
      <c r="C97" s="33"/>
      <c r="D97" s="33"/>
      <c r="E97" s="33"/>
      <c r="F97" s="33"/>
    </row>
    <row r="98" spans="1:6" ht="15.75" customHeight="1" x14ac:dyDescent="0.2">
      <c r="A98" s="34" t="s">
        <v>119</v>
      </c>
      <c r="B98" s="35">
        <v>139.18199999999999</v>
      </c>
      <c r="C98" s="35">
        <v>166.429</v>
      </c>
      <c r="D98" s="35">
        <v>127.15900000000001</v>
      </c>
      <c r="E98" s="35">
        <f>E99+E100</f>
        <v>-68</v>
      </c>
      <c r="F98" s="35">
        <f>F99+F100</f>
        <v>-15</v>
      </c>
    </row>
    <row r="99" spans="1:6" ht="15.75" customHeight="1" x14ac:dyDescent="0.2">
      <c r="A99" s="34" t="s">
        <v>152</v>
      </c>
      <c r="B99" s="35"/>
      <c r="C99" s="35"/>
      <c r="D99" s="35"/>
      <c r="E99" s="35">
        <v>-134</v>
      </c>
      <c r="F99" s="35">
        <v>-91</v>
      </c>
    </row>
    <row r="100" spans="1:6" ht="15.75" customHeight="1" x14ac:dyDescent="0.2">
      <c r="A100" s="34" t="s">
        <v>153</v>
      </c>
      <c r="B100" s="35"/>
      <c r="C100" s="35"/>
      <c r="D100" s="35"/>
      <c r="E100" s="35">
        <v>66</v>
      </c>
      <c r="F100" s="35">
        <v>76</v>
      </c>
    </row>
    <row r="101" spans="1:6" ht="15.75" customHeight="1" x14ac:dyDescent="0.2">
      <c r="A101" s="3" t="s">
        <v>106</v>
      </c>
      <c r="B101" s="31">
        <f>B98/B60</f>
        <v>0.11861226159431404</v>
      </c>
      <c r="C101" s="31">
        <f>C98/C60</f>
        <v>0.13028760831597383</v>
      </c>
      <c r="D101" s="31">
        <f>D98/D60</f>
        <v>0.11923019221753399</v>
      </c>
      <c r="E101" s="31">
        <f>E98/E60</f>
        <v>-7.3039742212674549E-2</v>
      </c>
      <c r="F101" s="31">
        <f>F98/F60</f>
        <v>-1.5090543259557344E-2</v>
      </c>
    </row>
    <row r="102" spans="1:6" ht="15.75" customHeight="1" x14ac:dyDescent="0.2">
      <c r="A102" s="3" t="s">
        <v>154</v>
      </c>
      <c r="B102" s="31"/>
      <c r="C102" s="31"/>
      <c r="D102" s="31"/>
      <c r="E102" s="31">
        <f>E99/E61</f>
        <v>-0.3392405063291139</v>
      </c>
      <c r="F102" s="31">
        <f>F99/F61</f>
        <v>-0.20871559633027523</v>
      </c>
    </row>
    <row r="103" spans="1:6" ht="15.75" customHeight="1" x14ac:dyDescent="0.2">
      <c r="A103" s="3" t="s">
        <v>155</v>
      </c>
      <c r="B103" s="31"/>
      <c r="C103" s="31"/>
      <c r="D103" s="31"/>
      <c r="E103" s="31">
        <f>E100/E62</f>
        <v>0.12313432835820895</v>
      </c>
      <c r="F103" s="31">
        <f>F100/F62</f>
        <v>0.13620071684587814</v>
      </c>
    </row>
    <row r="104" spans="1:6" ht="15.75" customHeight="1" x14ac:dyDescent="0.2">
      <c r="A104" s="5" t="s">
        <v>100</v>
      </c>
      <c r="B104" s="30" t="s">
        <v>101</v>
      </c>
      <c r="C104" s="30">
        <f>IFERROR(C98/B98-1,"na")</f>
        <v>0.19576525700162395</v>
      </c>
      <c r="D104" s="30">
        <f>IFERROR(D98/C98-1,"na")</f>
        <v>-0.23595647393182673</v>
      </c>
      <c r="E104" s="30">
        <f>IFERROR(E98/D98-1,"na")</f>
        <v>-1.534763563727302</v>
      </c>
      <c r="F104" s="30">
        <f>IFERROR(F98/E98-1,"na")</f>
        <v>-0.77941176470588236</v>
      </c>
    </row>
    <row r="105" spans="1:6" ht="15.75" hidden="1" customHeight="1" x14ac:dyDescent="0.2">
      <c r="A105" s="3" t="s">
        <v>156</v>
      </c>
      <c r="B105" s="29"/>
      <c r="C105" s="29"/>
      <c r="D105" s="29"/>
      <c r="E105" s="29"/>
      <c r="F105" s="29"/>
    </row>
    <row r="106" spans="1:6" ht="15.75" hidden="1" customHeight="1" x14ac:dyDescent="0.2">
      <c r="A106" s="20" t="s">
        <v>157</v>
      </c>
      <c r="B106" s="21"/>
      <c r="C106" s="21"/>
      <c r="D106" s="21"/>
      <c r="E106" s="21"/>
      <c r="F106" s="21"/>
    </row>
    <row r="107" spans="1:6" ht="15.75" hidden="1" customHeight="1" x14ac:dyDescent="0.2">
      <c r="A107" s="20" t="s">
        <v>158</v>
      </c>
      <c r="B107" s="21"/>
      <c r="C107" s="21"/>
      <c r="D107" s="21"/>
      <c r="E107" s="21"/>
      <c r="F107" s="21"/>
    </row>
    <row r="108" spans="1:6" ht="15.75" customHeight="1" x14ac:dyDescent="0.2">
      <c r="A108" s="3" t="s">
        <v>120</v>
      </c>
      <c r="B108" s="29">
        <f>B91</f>
        <v>1.31899999999996</v>
      </c>
      <c r="C108" s="29">
        <f>C91</f>
        <v>2.0960000000000036</v>
      </c>
      <c r="D108" s="29">
        <f>D91</f>
        <v>-31.9</v>
      </c>
      <c r="E108" s="29">
        <f>E91</f>
        <v>-1683</v>
      </c>
      <c r="F108" s="29">
        <f>F91</f>
        <v>-2</v>
      </c>
    </row>
    <row r="109" spans="1:6" ht="15.75" customHeight="1" x14ac:dyDescent="0.2">
      <c r="A109" s="20" t="s">
        <v>121</v>
      </c>
      <c r="B109" s="21">
        <v>140.5</v>
      </c>
      <c r="C109" s="21">
        <v>168.5</v>
      </c>
      <c r="D109" s="21">
        <v>95.2</v>
      </c>
      <c r="E109" s="21">
        <f>E110+E111</f>
        <v>-1751</v>
      </c>
      <c r="F109" s="21">
        <f>F110+F111</f>
        <v>-18</v>
      </c>
    </row>
    <row r="110" spans="1:6" ht="15" customHeight="1" x14ac:dyDescent="0.2">
      <c r="A110" s="20" t="s">
        <v>159</v>
      </c>
      <c r="B110" s="21"/>
      <c r="C110" s="21"/>
      <c r="D110" s="21"/>
      <c r="E110" s="21">
        <v>-1806</v>
      </c>
      <c r="F110" s="21">
        <v>-73</v>
      </c>
    </row>
    <row r="111" spans="1:6" ht="15" customHeight="1" x14ac:dyDescent="0.2">
      <c r="A111" s="20" t="s">
        <v>160</v>
      </c>
      <c r="B111" s="21"/>
      <c r="C111" s="21"/>
      <c r="D111" s="21"/>
      <c r="E111" s="21">
        <v>55</v>
      </c>
      <c r="F111" s="21">
        <v>55</v>
      </c>
    </row>
    <row r="112" spans="1:6" ht="15.75" customHeight="1" x14ac:dyDescent="0.2">
      <c r="A112" s="3" t="s">
        <v>122</v>
      </c>
      <c r="B112" s="9">
        <v>4364.5</v>
      </c>
      <c r="C112" s="9">
        <v>5431.4750000000004</v>
      </c>
      <c r="D112" s="9">
        <v>4942.5919999999996</v>
      </c>
      <c r="E112" s="9">
        <v>3817.07</v>
      </c>
      <c r="F112" s="9"/>
    </row>
    <row r="113" spans="1:6" ht="15.75" customHeight="1" x14ac:dyDescent="0.2">
      <c r="A113" s="5" t="s">
        <v>123</v>
      </c>
      <c r="B113" s="7">
        <v>2075.1770000000001</v>
      </c>
      <c r="C113" s="7">
        <v>2670.7930000000001</v>
      </c>
      <c r="D113" s="7">
        <v>1460.0429999999999</v>
      </c>
      <c r="E113" s="7">
        <v>1479.78</v>
      </c>
      <c r="F113" s="7"/>
    </row>
    <row r="114" spans="1:6" ht="15.75" customHeight="1" x14ac:dyDescent="0.2">
      <c r="A114" s="3" t="s">
        <v>124</v>
      </c>
      <c r="B114" s="9">
        <v>2197.674</v>
      </c>
      <c r="C114" s="9">
        <v>2498</v>
      </c>
      <c r="D114" s="9">
        <v>3193</v>
      </c>
      <c r="E114" s="9">
        <v>2572.6889999999999</v>
      </c>
      <c r="F114" s="9">
        <v>2584</v>
      </c>
    </row>
    <row r="115" spans="1:6" ht="15.75" customHeight="1" x14ac:dyDescent="0.2">
      <c r="A115" s="5" t="s">
        <v>125</v>
      </c>
      <c r="B115" s="22">
        <f>B98*(1-'P&amp;L'!B74)/B114</f>
        <v>4.7878617119736587E-2</v>
      </c>
      <c r="C115" s="22">
        <f>C98*(1-'P&amp;L'!C74)/C114</f>
        <v>5.3033420336269017E-2</v>
      </c>
      <c r="D115" s="22">
        <f>D98*(1-'P&amp;L'!D74)/D114</f>
        <v>2.978857876605074E-2</v>
      </c>
      <c r="E115" s="22">
        <f>E98*(1-'P&amp;L'!E74)/E114</f>
        <v>-1.8713493935722508E-2</v>
      </c>
      <c r="F115" s="22">
        <f>F98*(1-'P&amp;L'!F74)/F114</f>
        <v>-4.2898606811145506E-3</v>
      </c>
    </row>
    <row r="116" spans="1:6" ht="15.75" customHeight="1" x14ac:dyDescent="0.2">
      <c r="A116" s="3" t="s">
        <v>126</v>
      </c>
      <c r="B116" s="25">
        <f>IFERROR(B60/B114,"na")</f>
        <v>0.53393724455947522</v>
      </c>
      <c r="C116" s="25">
        <f>IFERROR(C60/C114,"na")</f>
        <v>0.51136789431545238</v>
      </c>
      <c r="D116" s="25">
        <f>IFERROR(D60/D114,"na")</f>
        <v>0.33401190103351081</v>
      </c>
      <c r="E116" s="25">
        <f>IFERROR(E60/E114,"na")</f>
        <v>0.36187817493680741</v>
      </c>
      <c r="F116" s="25">
        <f>IFERROR(F60/F114,"na")</f>
        <v>0.3846749226006192</v>
      </c>
    </row>
    <row r="117" spans="1:6" ht="15.75" customHeight="1" x14ac:dyDescent="0.2">
      <c r="A117" s="5" t="s">
        <v>127</v>
      </c>
      <c r="B117" s="7">
        <v>2275.5</v>
      </c>
      <c r="C117" s="7">
        <v>2751</v>
      </c>
      <c r="D117" s="7">
        <v>3468</v>
      </c>
      <c r="E117" s="7">
        <v>2323</v>
      </c>
      <c r="F117" s="7">
        <v>2665</v>
      </c>
    </row>
    <row r="118" spans="1:6" ht="15.75" customHeight="1" x14ac:dyDescent="0.2">
      <c r="A118" s="3" t="s">
        <v>128</v>
      </c>
      <c r="B118" s="23">
        <f>B98*(1-'P&amp;L'!B74)/B117</f>
        <v>4.6241086354647326E-2</v>
      </c>
      <c r="C118" s="23">
        <f>C98*(1-'P&amp;L'!C74)/C117</f>
        <v>4.8156119229371137E-2</v>
      </c>
      <c r="D118" s="23">
        <f>D98*(1-'P&amp;L'!D74)/D117</f>
        <v>2.7426450980392161E-2</v>
      </c>
      <c r="E118" s="23">
        <f>E98*(1-'P&amp;L'!E74)/E117</f>
        <v>-2.0724924666379679E-2</v>
      </c>
      <c r="F118" s="23">
        <f>F98*(1-'P&amp;L'!F74)/F117</f>
        <v>-4.1594746716697934E-3</v>
      </c>
    </row>
    <row r="119" spans="1:6" ht="15.75" customHeight="1" x14ac:dyDescent="0.2">
      <c r="A119" s="5" t="s">
        <v>129</v>
      </c>
      <c r="B119" s="22">
        <f>IFERROR(B60/B117,"na")</f>
        <v>0.51567567567567574</v>
      </c>
      <c r="C119" s="22">
        <f>IFERROR(C60/C117,"na")</f>
        <v>0.46433914940021809</v>
      </c>
      <c r="D119" s="22">
        <f>IFERROR(D60/D117,"na")</f>
        <v>0.30752595155709345</v>
      </c>
      <c r="E119" s="22">
        <f>IFERROR(E60/E117,"na")</f>
        <v>0.40077486009470514</v>
      </c>
      <c r="F119" s="22">
        <f>IFERROR(F60/F117,"na")</f>
        <v>0.3729831144465291</v>
      </c>
    </row>
    <row r="120" spans="1:6" ht="15.75" customHeight="1" x14ac:dyDescent="0.2">
      <c r="A120" s="20" t="s">
        <v>130</v>
      </c>
      <c r="B120" s="21">
        <v>-63.518000000000001</v>
      </c>
      <c r="C120" s="21">
        <v>-107</v>
      </c>
      <c r="D120" s="21">
        <v>-83</v>
      </c>
      <c r="E120" s="21">
        <f>E121+E122</f>
        <v>-101</v>
      </c>
      <c r="F120" s="21">
        <f>F121+F122</f>
        <v>-85</v>
      </c>
    </row>
    <row r="121" spans="1:6" ht="15.75" customHeight="1" x14ac:dyDescent="0.2">
      <c r="A121" s="20" t="s">
        <v>161</v>
      </c>
      <c r="B121" s="21"/>
      <c r="C121" s="21"/>
      <c r="D121" s="21"/>
      <c r="E121" s="21">
        <v>-89</v>
      </c>
      <c r="F121" s="21">
        <v>-74</v>
      </c>
    </row>
    <row r="122" spans="1:6" ht="15.75" customHeight="1" x14ac:dyDescent="0.2">
      <c r="A122" s="20" t="s">
        <v>162</v>
      </c>
      <c r="B122" s="21"/>
      <c r="C122" s="21"/>
      <c r="D122" s="21"/>
      <c r="E122" s="21">
        <v>-12</v>
      </c>
      <c r="F122" s="21">
        <v>-11</v>
      </c>
    </row>
    <row r="123" spans="1:6" ht="15" customHeight="1" x14ac:dyDescent="0.2">
      <c r="A123" s="3" t="s">
        <v>131</v>
      </c>
      <c r="B123" s="9">
        <v>-218.67400000000001</v>
      </c>
      <c r="C123" s="9">
        <v>-295.7</v>
      </c>
      <c r="D123" s="9">
        <v>-645.70000000000005</v>
      </c>
      <c r="E123" s="9">
        <f>E124+E125</f>
        <v>-333</v>
      </c>
      <c r="F123" s="9">
        <f>F124+F125</f>
        <v>-152</v>
      </c>
    </row>
    <row r="124" spans="1:6" ht="15" customHeight="1" x14ac:dyDescent="0.2">
      <c r="A124" s="3" t="s">
        <v>163</v>
      </c>
      <c r="B124" s="9"/>
      <c r="C124" s="9"/>
      <c r="D124" s="9"/>
      <c r="E124" s="9">
        <v>-307</v>
      </c>
      <c r="F124" s="9">
        <v>-124</v>
      </c>
    </row>
    <row r="125" spans="1:6" ht="15" customHeight="1" x14ac:dyDescent="0.2">
      <c r="A125" s="3" t="s">
        <v>164</v>
      </c>
      <c r="B125" s="9"/>
      <c r="C125" s="9"/>
      <c r="D125" s="9"/>
      <c r="E125" s="9">
        <v>-26</v>
      </c>
      <c r="F125" s="9">
        <v>-28</v>
      </c>
    </row>
    <row r="126" spans="1:6" ht="15" hidden="1" customHeight="1" x14ac:dyDescent="0.2">
      <c r="A126" s="5" t="s">
        <v>165</v>
      </c>
      <c r="B126" s="7">
        <v>-88.4</v>
      </c>
      <c r="C126" s="7">
        <f>80%*B79</f>
        <v>-98.091199999999986</v>
      </c>
      <c r="D126" s="7">
        <f>80%*-123.8</f>
        <v>-99.04</v>
      </c>
      <c r="E126" s="7">
        <f>80%*D91</f>
        <v>-25.52</v>
      </c>
      <c r="F126" s="7">
        <f>80%*E91</f>
        <v>-1346.4</v>
      </c>
    </row>
    <row r="127" spans="1:6" ht="15" hidden="1" customHeight="1" x14ac:dyDescent="0.2">
      <c r="A127" s="3" t="s">
        <v>166</v>
      </c>
      <c r="B127" s="9"/>
      <c r="C127" s="9"/>
      <c r="D127" s="9"/>
      <c r="E127" s="9"/>
      <c r="F127" s="9"/>
    </row>
    <row r="128" spans="1:6" ht="15" hidden="1" customHeight="1" x14ac:dyDescent="0.2">
      <c r="A128" s="5" t="s">
        <v>167</v>
      </c>
      <c r="B128" s="7"/>
      <c r="C128" s="7"/>
      <c r="D128" s="7"/>
      <c r="E128" s="7"/>
      <c r="F128" s="7"/>
    </row>
    <row r="129" spans="1:6" ht="15" hidden="1" customHeight="1" x14ac:dyDescent="0.2">
      <c r="A129" s="3" t="s">
        <v>168</v>
      </c>
      <c r="B129" s="9"/>
      <c r="C129" s="9"/>
      <c r="D129" s="9">
        <v>-550</v>
      </c>
      <c r="E129" s="9"/>
      <c r="F129" s="9"/>
    </row>
    <row r="130" spans="1:6" ht="15.75" customHeight="1" x14ac:dyDescent="0.2">
      <c r="A130" s="5" t="s">
        <v>132</v>
      </c>
      <c r="B130" s="27">
        <f>B123/B79</f>
        <v>1.7834341918541117</v>
      </c>
      <c r="C130" s="27">
        <f>C123/C79</f>
        <v>2.3884720079481112</v>
      </c>
      <c r="D130" s="27">
        <f>D123/D79</f>
        <v>4.88426626323752</v>
      </c>
      <c r="E130" s="27">
        <f>E123/E79</f>
        <v>2.8706896551724137</v>
      </c>
      <c r="F130" s="27">
        <f>F123/F79</f>
        <v>1.4757281553398058</v>
      </c>
    </row>
    <row r="131" spans="1:6" ht="15.75" customHeight="1" x14ac:dyDescent="0.2">
      <c r="A131" s="5" t="s">
        <v>169</v>
      </c>
      <c r="B131" s="27"/>
      <c r="C131" s="27"/>
      <c r="D131" s="27"/>
      <c r="E131" s="7">
        <f>E98*(1-'P&amp;L'!E74)-E80+E124</f>
        <v>-270.14400000000001</v>
      </c>
      <c r="F131" s="7">
        <f>F98*(1-'P&amp;L'!F74)-F80+F124</f>
        <v>-64.085000000000008</v>
      </c>
    </row>
    <row r="132" spans="1:6" ht="15.75" customHeight="1" x14ac:dyDescent="0.2">
      <c r="A132" s="5" t="s">
        <v>170</v>
      </c>
      <c r="B132" s="27"/>
      <c r="C132" s="27"/>
      <c r="D132" s="27"/>
      <c r="E132" s="7">
        <f>E98*(1-'P&amp;L'!E74)-E81+E125</f>
        <v>-43.143999999999998</v>
      </c>
      <c r="F132" s="7">
        <f>F98*(1-'P&amp;L'!F74)-F81+F125</f>
        <v>-7.0850000000000009</v>
      </c>
    </row>
    <row r="133" spans="1:6" ht="15.75" customHeight="1" x14ac:dyDescent="0.2">
      <c r="A133" s="3" t="s">
        <v>134</v>
      </c>
      <c r="B133" s="9">
        <f>(B86*(1-'P&amp;L'!B74)-'Income Statement'!B79+'Income Statement'!B123)</f>
        <v>3.3713879999999676</v>
      </c>
      <c r="C133" s="9">
        <f>(C86*(1-'P&amp;L'!C74)-'Income Statement'!C79+'Income Statement'!C123)</f>
        <v>-43.342999999999989</v>
      </c>
      <c r="D133" s="9">
        <f>(D86*(1-'P&amp;L'!D74)-'Income Statement'!D79+'Income Statement'!D123)</f>
        <v>-416.44026800000006</v>
      </c>
      <c r="E133" s="9">
        <f>E131+E132</f>
        <v>-313.28800000000001</v>
      </c>
      <c r="F133" s="9">
        <f>F131+F132</f>
        <v>-71.170000000000016</v>
      </c>
    </row>
    <row r="134" spans="1:6" ht="3.75" customHeight="1" x14ac:dyDescent="0.2"/>
    <row r="135" spans="1:6" ht="15.75" customHeight="1" x14ac:dyDescent="0.2">
      <c r="A135" s="36" t="s">
        <v>171</v>
      </c>
      <c r="B135" s="21"/>
      <c r="C135" s="21"/>
      <c r="D135" s="21"/>
      <c r="E135" s="21"/>
      <c r="F135" s="21"/>
    </row>
    <row r="136" spans="1:6" ht="15.75" customHeight="1" x14ac:dyDescent="0.2">
      <c r="A136" s="3" t="s">
        <v>99</v>
      </c>
      <c r="B136" s="9">
        <v>12551.55</v>
      </c>
      <c r="C136" s="9">
        <v>12863.5</v>
      </c>
      <c r="D136" s="9">
        <v>8710.6</v>
      </c>
      <c r="E136" s="9">
        <v>9262</v>
      </c>
      <c r="F136" s="9">
        <v>13826</v>
      </c>
    </row>
    <row r="137" spans="1:6" ht="15.75" customHeight="1" x14ac:dyDescent="0.2">
      <c r="A137" s="5" t="s">
        <v>100</v>
      </c>
      <c r="B137" s="7" t="s">
        <v>101</v>
      </c>
      <c r="C137" s="22">
        <f>C136/B136-1</f>
        <v>2.4853504148889982E-2</v>
      </c>
      <c r="D137" s="22">
        <f>D136/C136-1</f>
        <v>-0.32284370505694404</v>
      </c>
      <c r="E137" s="22">
        <f>E136/D136-1</f>
        <v>6.3302183546483537E-2</v>
      </c>
      <c r="F137" s="22">
        <f>F136/E136-1</f>
        <v>0.4927661412221982</v>
      </c>
    </row>
    <row r="138" spans="1:6" ht="15.75" customHeight="1" x14ac:dyDescent="0.2">
      <c r="A138" s="3" t="s">
        <v>138</v>
      </c>
      <c r="B138" s="9" t="s">
        <v>101</v>
      </c>
      <c r="C138" s="23">
        <f>C137-C141</f>
        <v>2.6248179026630347E-2</v>
      </c>
      <c r="D138" s="23">
        <f>D137-D141</f>
        <v>-0.23781296121931483</v>
      </c>
      <c r="E138" s="23">
        <f>E137-E141</f>
        <v>0.17223270193284457</v>
      </c>
      <c r="F138" s="23">
        <f>F137-F141</f>
        <v>0.43937348271274335</v>
      </c>
    </row>
    <row r="139" spans="1:6" ht="15.75" customHeight="1" x14ac:dyDescent="0.2">
      <c r="A139" s="5" t="s">
        <v>103</v>
      </c>
      <c r="B139" s="7">
        <f>1104.2-B136</f>
        <v>-11447.349999999999</v>
      </c>
      <c r="C139" s="7">
        <f>1102.66-C136</f>
        <v>-11760.84</v>
      </c>
      <c r="D139" s="7">
        <f>1008.9-D136</f>
        <v>-7701.7000000000007</v>
      </c>
      <c r="E139" s="7">
        <f>E140-E136</f>
        <v>-8363</v>
      </c>
      <c r="F139" s="7">
        <f>F140-F136</f>
        <v>-12879</v>
      </c>
    </row>
    <row r="140" spans="1:6" ht="15.75" customHeight="1" x14ac:dyDescent="0.2">
      <c r="A140" s="3" t="s">
        <v>139</v>
      </c>
      <c r="B140" s="9">
        <f>B136+B139</f>
        <v>1104.2000000000007</v>
      </c>
      <c r="C140" s="9">
        <f>C136+C139</f>
        <v>1102.6599999999999</v>
      </c>
      <c r="D140" s="9">
        <f>D136+D139</f>
        <v>1008.8999999999996</v>
      </c>
      <c r="E140" s="9">
        <v>899</v>
      </c>
      <c r="F140" s="9">
        <v>947</v>
      </c>
    </row>
    <row r="141" spans="1:6" ht="15.75" customHeight="1" x14ac:dyDescent="0.2">
      <c r="A141" s="5" t="s">
        <v>100</v>
      </c>
      <c r="B141" s="7" t="s">
        <v>101</v>
      </c>
      <c r="C141" s="22">
        <f>C140/B140-1</f>
        <v>-1.394674877740365E-3</v>
      </c>
      <c r="D141" s="22">
        <f>D140/C140-1</f>
        <v>-8.5030743837629208E-2</v>
      </c>
      <c r="E141" s="22">
        <f>E140/D140-1</f>
        <v>-0.10893051838636103</v>
      </c>
      <c r="F141" s="22">
        <f>F140/E140-1</f>
        <v>5.3392658509454849E-2</v>
      </c>
    </row>
    <row r="142" spans="1:6" ht="3.75" customHeight="1" x14ac:dyDescent="0.2"/>
    <row r="143" spans="1:6" ht="15.75" customHeight="1" x14ac:dyDescent="0.2">
      <c r="A143" s="3" t="s">
        <v>140</v>
      </c>
      <c r="B143" s="9">
        <v>639.79999999999995</v>
      </c>
      <c r="C143" s="9">
        <v>532.20000000000005</v>
      </c>
      <c r="D143" s="9">
        <v>371.6</v>
      </c>
      <c r="E143" s="9">
        <v>370</v>
      </c>
      <c r="F143" s="9">
        <v>371</v>
      </c>
    </row>
    <row r="144" spans="1:6" ht="15.75" customHeight="1" x14ac:dyDescent="0.2">
      <c r="A144" s="5" t="s">
        <v>106</v>
      </c>
      <c r="B144" s="22">
        <f>IFERROR(B143/B140,"na")</f>
        <v>0.57942401738815386</v>
      </c>
      <c r="C144" s="22">
        <f>IFERROR(C143/C140,"na")</f>
        <v>0.48265104383944291</v>
      </c>
      <c r="D144" s="22">
        <f>IFERROR(D143/D140,"na")</f>
        <v>0.36832193478045411</v>
      </c>
      <c r="E144" s="22">
        <f>IFERROR(E143/E140,"na")</f>
        <v>0.41156840934371525</v>
      </c>
      <c r="F144" s="22">
        <f>IFERROR(F143/F140,"na")</f>
        <v>0.3917634635691658</v>
      </c>
    </row>
    <row r="145" spans="1:6" ht="15.75" customHeight="1" x14ac:dyDescent="0.2">
      <c r="A145" s="3" t="s">
        <v>100</v>
      </c>
      <c r="B145" s="23"/>
      <c r="C145" s="23">
        <f>C143/B143-1</f>
        <v>-0.16817755548608926</v>
      </c>
      <c r="D145" s="23">
        <f>D143/C143-1</f>
        <v>-0.30176625328823747</v>
      </c>
      <c r="E145" s="23">
        <f>E143/D143-1</f>
        <v>-4.3057050592034685E-3</v>
      </c>
      <c r="F145" s="23">
        <f>F143/E143-1</f>
        <v>2.7027027027026751E-3</v>
      </c>
    </row>
    <row r="146" spans="1:6" ht="15.75" customHeight="1" x14ac:dyDescent="0.2">
      <c r="A146" s="5" t="s">
        <v>112</v>
      </c>
      <c r="B146" s="7">
        <v>-44.3</v>
      </c>
      <c r="C146" s="7">
        <v>-0.1</v>
      </c>
      <c r="D146" s="7">
        <v>-13.7</v>
      </c>
      <c r="E146" s="7">
        <f>E143-E147</f>
        <v>3</v>
      </c>
      <c r="F146" s="7">
        <f>F147-F143</f>
        <v>486</v>
      </c>
    </row>
    <row r="147" spans="1:6" ht="15.75" customHeight="1" x14ac:dyDescent="0.2">
      <c r="A147" s="20" t="s">
        <v>113</v>
      </c>
      <c r="B147" s="21">
        <f>B143+B146</f>
        <v>595.5</v>
      </c>
      <c r="C147" s="21">
        <f>C143+C146</f>
        <v>532.1</v>
      </c>
      <c r="D147" s="21">
        <f>D143+D146</f>
        <v>357.90000000000003</v>
      </c>
      <c r="E147" s="21">
        <v>367</v>
      </c>
      <c r="F147" s="21">
        <v>857</v>
      </c>
    </row>
    <row r="148" spans="1:6" ht="3.75" customHeight="1" x14ac:dyDescent="0.2"/>
    <row r="149" spans="1:6" ht="15.75" customHeight="1" x14ac:dyDescent="0.2">
      <c r="A149" s="3" t="s">
        <v>114</v>
      </c>
      <c r="B149" s="29">
        <v>-66.921000000000006</v>
      </c>
      <c r="C149" s="29">
        <v>-69.3</v>
      </c>
      <c r="D149" s="29">
        <v>-76.3</v>
      </c>
      <c r="E149" s="29">
        <v>-77.400000000000006</v>
      </c>
      <c r="F149" s="29">
        <v>-76</v>
      </c>
    </row>
    <row r="150" spans="1:6" ht="15.75" customHeight="1" x14ac:dyDescent="0.2">
      <c r="A150" s="5" t="s">
        <v>115</v>
      </c>
      <c r="B150" s="30">
        <f>-B149/B165</f>
        <v>0.19379977411601171</v>
      </c>
      <c r="C150" s="30">
        <f>-C149/C165</f>
        <v>0.16698795180722892</v>
      </c>
      <c r="D150" s="30">
        <f>-D149/D165</f>
        <v>0.17540229885057471</v>
      </c>
      <c r="E150" s="30">
        <f>-E149/E165</f>
        <v>0.2441640378548896</v>
      </c>
      <c r="F150" s="30">
        <f>-F149/F165</f>
        <v>0.53521126760563376</v>
      </c>
    </row>
    <row r="151" spans="1:6" ht="15.75" customHeight="1" x14ac:dyDescent="0.2">
      <c r="A151" s="3" t="s">
        <v>172</v>
      </c>
      <c r="B151" s="31">
        <f>-B149/B140</f>
        <v>6.0605868502082924E-2</v>
      </c>
      <c r="C151" s="31">
        <f>-C149/C140</f>
        <v>6.2848022055756084E-2</v>
      </c>
      <c r="D151" s="31">
        <f>-D149/D140</f>
        <v>7.5626920408365578E-2</v>
      </c>
      <c r="E151" s="31">
        <f>-E149/E140</f>
        <v>8.6095661846496113E-2</v>
      </c>
      <c r="F151" s="31">
        <f>-F149/F140</f>
        <v>8.0253431890179514E-2</v>
      </c>
    </row>
    <row r="152" spans="1:6" ht="3.75" customHeight="1" x14ac:dyDescent="0.2">
      <c r="B152" s="33"/>
      <c r="C152" s="33"/>
      <c r="D152" s="33"/>
      <c r="E152" s="33"/>
      <c r="F152" s="33"/>
    </row>
    <row r="153" spans="1:6" ht="15.75" customHeight="1" x14ac:dyDescent="0.2">
      <c r="A153" s="5" t="s">
        <v>117</v>
      </c>
      <c r="B153" s="32">
        <f>B143+B149</f>
        <v>572.87899999999991</v>
      </c>
      <c r="C153" s="32">
        <f>C143+C149</f>
        <v>462.90000000000003</v>
      </c>
      <c r="D153" s="32">
        <f>D143+D149</f>
        <v>295.3</v>
      </c>
      <c r="E153" s="32">
        <f>E143+E149</f>
        <v>292.60000000000002</v>
      </c>
      <c r="F153" s="32">
        <f>F143+F149</f>
        <v>295</v>
      </c>
    </row>
    <row r="154" spans="1:6" ht="15.75" customHeight="1" x14ac:dyDescent="0.2">
      <c r="A154" s="3" t="s">
        <v>112</v>
      </c>
      <c r="B154" s="29">
        <v>-44.3</v>
      </c>
      <c r="C154" s="29">
        <v>-10</v>
      </c>
      <c r="D154" s="29">
        <v>-13.7</v>
      </c>
      <c r="E154" s="29">
        <v>3</v>
      </c>
      <c r="F154" s="29">
        <f>F146</f>
        <v>486</v>
      </c>
    </row>
    <row r="155" spans="1:6" ht="15.75" customHeight="1" x14ac:dyDescent="0.2">
      <c r="A155" s="5" t="s">
        <v>118</v>
      </c>
      <c r="B155" s="32">
        <f>B152+B153+B154</f>
        <v>528.57899999999995</v>
      </c>
      <c r="C155" s="32">
        <f>C152+C153+C154</f>
        <v>452.90000000000003</v>
      </c>
      <c r="D155" s="32">
        <f>D152+D153+D154</f>
        <v>281.60000000000002</v>
      </c>
      <c r="E155" s="32">
        <f>E152+E153+E154</f>
        <v>295.60000000000002</v>
      </c>
      <c r="F155" s="32">
        <f>F153+F154</f>
        <v>781</v>
      </c>
    </row>
    <row r="156" spans="1:6" ht="3.75" customHeight="1" x14ac:dyDescent="0.2">
      <c r="B156" s="33"/>
      <c r="C156" s="33"/>
      <c r="D156" s="33"/>
      <c r="E156" s="33"/>
      <c r="F156" s="33"/>
    </row>
    <row r="157" spans="1:6" ht="15.75" customHeight="1" x14ac:dyDescent="0.2">
      <c r="A157" s="3" t="s">
        <v>119</v>
      </c>
      <c r="B157" s="29">
        <v>572.9</v>
      </c>
      <c r="C157" s="29">
        <v>462.9</v>
      </c>
      <c r="D157" s="29">
        <v>295.3</v>
      </c>
      <c r="E157" s="29">
        <f>E153</f>
        <v>292.60000000000002</v>
      </c>
      <c r="F157" s="29">
        <f>F153</f>
        <v>295</v>
      </c>
    </row>
    <row r="158" spans="1:6" ht="15.75" customHeight="1" x14ac:dyDescent="0.2">
      <c r="A158" s="5" t="s">
        <v>106</v>
      </c>
      <c r="B158" s="30">
        <f>B157/B140</f>
        <v>0.51883716717985839</v>
      </c>
      <c r="C158" s="30">
        <f>C157/C140</f>
        <v>0.41980302178368678</v>
      </c>
      <c r="D158" s="30">
        <f>D157/D140</f>
        <v>0.2926950143720885</v>
      </c>
      <c r="E158" s="30">
        <f>E157/E140</f>
        <v>0.32547274749721916</v>
      </c>
      <c r="F158" s="30">
        <f>F157/F140</f>
        <v>0.31151003167898628</v>
      </c>
    </row>
    <row r="159" spans="1:6" ht="15.75" customHeight="1" x14ac:dyDescent="0.2">
      <c r="A159" s="3" t="s">
        <v>100</v>
      </c>
      <c r="B159" s="31"/>
      <c r="C159" s="31">
        <f>C157/B153-1</f>
        <v>-0.19197596700175767</v>
      </c>
      <c r="D159" s="31">
        <f>D157/C153-1</f>
        <v>-0.36206524087275871</v>
      </c>
      <c r="E159" s="31">
        <f>E157/D153-1</f>
        <v>-9.1432441584828883E-3</v>
      </c>
      <c r="F159" s="31">
        <f>F157/E153-1</f>
        <v>8.2023239917976554E-3</v>
      </c>
    </row>
    <row r="160" spans="1:6" ht="15.75" customHeight="1" x14ac:dyDescent="0.2">
      <c r="A160" s="5" t="s">
        <v>120</v>
      </c>
      <c r="B160" s="32">
        <v>0</v>
      </c>
      <c r="C160" s="32">
        <v>-0.1</v>
      </c>
      <c r="D160" s="32">
        <v>-13.7</v>
      </c>
      <c r="E160" s="32">
        <f>E154</f>
        <v>3</v>
      </c>
      <c r="F160" s="32">
        <f>F146</f>
        <v>486</v>
      </c>
    </row>
    <row r="161" spans="1:6" ht="15.75" customHeight="1" x14ac:dyDescent="0.2">
      <c r="A161" s="20" t="s">
        <v>121</v>
      </c>
      <c r="B161" s="21">
        <f>B157+B160</f>
        <v>572.9</v>
      </c>
      <c r="C161" s="21">
        <f>C157+C160</f>
        <v>462.79999999999995</v>
      </c>
      <c r="D161" s="21">
        <f>D157+D160</f>
        <v>281.60000000000002</v>
      </c>
      <c r="E161" s="21">
        <f>E157+E160</f>
        <v>295.60000000000002</v>
      </c>
      <c r="F161" s="21">
        <f>F157+F160</f>
        <v>781</v>
      </c>
    </row>
    <row r="162" spans="1:6" ht="3.75" customHeight="1" x14ac:dyDescent="0.2"/>
    <row r="163" spans="1:6" ht="15.75" customHeight="1" x14ac:dyDescent="0.2">
      <c r="A163" s="3" t="s">
        <v>122</v>
      </c>
      <c r="B163" s="4">
        <v>1426.498</v>
      </c>
      <c r="C163" s="4">
        <v>1389.8030000000001</v>
      </c>
      <c r="D163" s="4">
        <v>1316.07</v>
      </c>
      <c r="E163" s="4">
        <v>1373.6</v>
      </c>
      <c r="F163" s="9"/>
    </row>
    <row r="164" spans="1:6" ht="15.75" customHeight="1" x14ac:dyDescent="0.2">
      <c r="A164" s="5" t="s">
        <v>123</v>
      </c>
      <c r="B164" s="6">
        <v>973.61400000000003</v>
      </c>
      <c r="C164" s="6">
        <v>1040.1489999999999</v>
      </c>
      <c r="D164" s="6">
        <v>864.173</v>
      </c>
      <c r="E164" s="6">
        <v>1189.3</v>
      </c>
      <c r="F164" s="7"/>
    </row>
    <row r="165" spans="1:6" ht="15.75" customHeight="1" x14ac:dyDescent="0.2">
      <c r="A165" s="3" t="s">
        <v>124</v>
      </c>
      <c r="B165" s="4">
        <v>345.31</v>
      </c>
      <c r="C165" s="4">
        <v>415</v>
      </c>
      <c r="D165" s="4">
        <v>435</v>
      </c>
      <c r="E165" s="4">
        <v>317</v>
      </c>
      <c r="F165" s="4">
        <v>142</v>
      </c>
    </row>
    <row r="166" spans="1:6" ht="15.75" customHeight="1" x14ac:dyDescent="0.2">
      <c r="A166" s="5" t="s">
        <v>125</v>
      </c>
      <c r="B166" s="22">
        <f>(B153*(1-'P&amp;L'!B74))/'Income Statement'!B165</f>
        <v>1.2542252584634095</v>
      </c>
      <c r="C166" s="22">
        <f>(C153*(1-'P&amp;L'!C74))/'Income Statement'!C165</f>
        <v>0.88787566265060247</v>
      </c>
      <c r="D166" s="22">
        <f>(D153*(1-'P&amp;L'!D74))/'Income Statement'!D165</f>
        <v>0.50778022988505744</v>
      </c>
      <c r="E166" s="22">
        <f>(E153*(1-'P&amp;L'!E74))/'Income Statement'!E165</f>
        <v>0.65350410094637224</v>
      </c>
      <c r="F166" s="22">
        <f>(F153*(1-'P&amp;L'!F74))/'Income Statement'!F165</f>
        <v>1.5352464788732394</v>
      </c>
    </row>
    <row r="167" spans="1:6" ht="15.75" customHeight="1" x14ac:dyDescent="0.2">
      <c r="A167" s="3" t="s">
        <v>126</v>
      </c>
      <c r="B167" s="37">
        <f>IFERROR(B140/B165,"na")</f>
        <v>3.1977064087341831</v>
      </c>
      <c r="C167" s="37">
        <f>IFERROR(C140/C165,"na")</f>
        <v>2.6570120481927706</v>
      </c>
      <c r="D167" s="37">
        <f>IFERROR(D140/D165,"na")</f>
        <v>2.3193103448275854</v>
      </c>
      <c r="E167" s="37">
        <f>IFERROR(E140/E165,"na")</f>
        <v>2.8359621451104102</v>
      </c>
      <c r="F167" s="37">
        <f>IFERROR(F140/F165,"na")</f>
        <v>6.669014084507042</v>
      </c>
    </row>
    <row r="168" spans="1:6" ht="15.75" customHeight="1" x14ac:dyDescent="0.2">
      <c r="A168" s="5" t="s">
        <v>127</v>
      </c>
      <c r="B168" s="6">
        <v>460.72300000000001</v>
      </c>
      <c r="C168" s="6">
        <v>347</v>
      </c>
      <c r="D168" s="6">
        <v>456</v>
      </c>
      <c r="E168" s="6">
        <v>185</v>
      </c>
      <c r="F168" s="7">
        <v>-37</v>
      </c>
    </row>
    <row r="169" spans="1:6" ht="15.75" customHeight="1" x14ac:dyDescent="0.2">
      <c r="A169" s="3" t="s">
        <v>128</v>
      </c>
      <c r="B169" s="23">
        <f>(B153*(1-'P&amp;L'!B74))/'Income Statement'!B168</f>
        <v>0.94003669015872859</v>
      </c>
      <c r="C169" s="23">
        <f>(C153*(1-'P&amp;L'!C74))/'Income Statement'!C168</f>
        <v>1.0618685878962537</v>
      </c>
      <c r="D169" s="23">
        <f>(D153*(1-'P&amp;L'!D74))/'Income Statement'!D168</f>
        <v>0.48439561403508774</v>
      </c>
      <c r="E169" s="23">
        <f>(E153*(1-'P&amp;L'!E74))/'Income Statement'!E168</f>
        <v>1.119788108108108</v>
      </c>
      <c r="F169" s="23">
        <f>(F153*(1-'P&amp;L'!F74))/'Income Statement'!F168</f>
        <v>-5.8920270270270265</v>
      </c>
    </row>
    <row r="170" spans="1:6" ht="15.75" customHeight="1" x14ac:dyDescent="0.2">
      <c r="A170" s="5" t="s">
        <v>129</v>
      </c>
      <c r="B170" s="27">
        <f>IFERROR(B140/B168,"na")</f>
        <v>2.3966678459725275</v>
      </c>
      <c r="C170" s="27">
        <f>IFERROR(C140/C168,"na")</f>
        <v>3.1776945244956769</v>
      </c>
      <c r="D170" s="27">
        <f>IFERROR(D140/D168,"na")</f>
        <v>2.212499999999999</v>
      </c>
      <c r="E170" s="27">
        <f>IFERROR(E140/E168,"na")</f>
        <v>4.8594594594594591</v>
      </c>
      <c r="F170" s="27">
        <f>IFERROR(F140/F168,"na")</f>
        <v>-25.594594594594593</v>
      </c>
    </row>
    <row r="171" spans="1:6" ht="15.75" customHeight="1" x14ac:dyDescent="0.2">
      <c r="A171" s="20" t="s">
        <v>130</v>
      </c>
      <c r="B171" s="21">
        <v>-13.164</v>
      </c>
      <c r="C171" s="21">
        <v>-24</v>
      </c>
      <c r="D171" s="21">
        <v>-27</v>
      </c>
      <c r="E171" s="21">
        <v>-31</v>
      </c>
      <c r="F171" s="21">
        <v>-12</v>
      </c>
    </row>
    <row r="172" spans="1:6" ht="15.75" customHeight="1" x14ac:dyDescent="0.2">
      <c r="A172" s="3" t="s">
        <v>131</v>
      </c>
      <c r="B172" s="9">
        <v>-83.096999999999994</v>
      </c>
      <c r="C172" s="9">
        <v>-81</v>
      </c>
      <c r="D172" s="9">
        <v>-82</v>
      </c>
      <c r="E172" s="9">
        <v>-87</v>
      </c>
      <c r="F172" s="9">
        <v>-58</v>
      </c>
    </row>
    <row r="173" spans="1:6" ht="15.75" customHeight="1" x14ac:dyDescent="0.2">
      <c r="A173" s="5" t="s">
        <v>132</v>
      </c>
      <c r="B173" s="27">
        <f>B172/B149</f>
        <v>1.2417178464159231</v>
      </c>
      <c r="C173" s="27">
        <f>C172/C149</f>
        <v>1.1688311688311688</v>
      </c>
      <c r="D173" s="27">
        <f>D172/D149</f>
        <v>1.0747051114023591</v>
      </c>
      <c r="E173" s="27">
        <f>E172/E149</f>
        <v>1.124031007751938</v>
      </c>
      <c r="F173" s="27">
        <f>F172/F149</f>
        <v>0.76315789473684215</v>
      </c>
    </row>
    <row r="174" spans="1:6" ht="15.75" customHeight="1" x14ac:dyDescent="0.2">
      <c r="A174" s="3" t="s">
        <v>134</v>
      </c>
      <c r="B174" s="9">
        <f>(B153*(1-'P&amp;L'!B74)-'Income Statement'!B149+'Income Statement'!B172)</f>
        <v>416.92052399999994</v>
      </c>
      <c r="C174" s="9">
        <f>(C153*(1-'P&amp;L'!C74)-'Income Statement'!C149+'Income Statement'!C172)</f>
        <v>356.76840000000004</v>
      </c>
      <c r="D174" s="9">
        <f>(D153*(1-'P&amp;L'!D74)-'Income Statement'!D149+'Income Statement'!D172)</f>
        <v>215.18439999999998</v>
      </c>
      <c r="E174" s="9">
        <f>(E153*(1-'P&amp;L'!E74)-'Income Statement'!E149+'Income Statement'!E172)</f>
        <v>197.56079999999997</v>
      </c>
      <c r="F174" s="9">
        <f>(F153*(1-'P&amp;L'!F74)-'Income Statement'!F149+'Income Statement'!F172)</f>
        <v>236.005</v>
      </c>
    </row>
    <row r="175" spans="1:6" ht="3.75" customHeight="1" x14ac:dyDescent="0.2"/>
    <row r="176" spans="1:6" ht="15.75" customHeight="1" x14ac:dyDescent="0.2">
      <c r="A176" s="36" t="s">
        <v>173</v>
      </c>
      <c r="B176" s="21"/>
      <c r="C176" s="21"/>
      <c r="D176" s="21"/>
      <c r="E176" s="21"/>
      <c r="F176" s="21"/>
    </row>
    <row r="177" spans="1:6" ht="15.75" customHeight="1" x14ac:dyDescent="0.2">
      <c r="A177" s="3" t="s">
        <v>99</v>
      </c>
      <c r="B177" s="9">
        <v>34.848999999999997</v>
      </c>
      <c r="C177" s="9">
        <v>44.232999999999997</v>
      </c>
      <c r="D177" s="9">
        <v>35.200000000000003</v>
      </c>
      <c r="E177" s="9">
        <v>57.78</v>
      </c>
      <c r="F177" s="9">
        <v>66.3</v>
      </c>
    </row>
    <row r="178" spans="1:6" ht="15.75" customHeight="1" x14ac:dyDescent="0.2">
      <c r="A178" s="5" t="s">
        <v>103</v>
      </c>
      <c r="B178" s="7">
        <f>-B177</f>
        <v>-34.848999999999997</v>
      </c>
      <c r="C178" s="7">
        <f>-C177</f>
        <v>-44.232999999999997</v>
      </c>
      <c r="D178" s="7">
        <v>-35.200000000000003</v>
      </c>
      <c r="E178" s="7">
        <v>-57.78</v>
      </c>
      <c r="F178" s="7">
        <v>-66.3</v>
      </c>
    </row>
    <row r="179" spans="1:6" ht="15.75" customHeight="1" x14ac:dyDescent="0.2">
      <c r="A179" s="3" t="s">
        <v>139</v>
      </c>
      <c r="B179" s="9">
        <f>B177+B178</f>
        <v>0</v>
      </c>
      <c r="C179" s="9">
        <f>C177+C178</f>
        <v>0</v>
      </c>
      <c r="D179" s="9">
        <f>D177+D178</f>
        <v>0</v>
      </c>
      <c r="E179" s="9">
        <f>E177+E178</f>
        <v>0</v>
      </c>
      <c r="F179" s="9">
        <f>F177+F178</f>
        <v>0</v>
      </c>
    </row>
    <row r="180" spans="1:6" ht="15.75" customHeight="1" x14ac:dyDescent="0.2">
      <c r="A180" s="5" t="s">
        <v>100</v>
      </c>
      <c r="B180" s="7" t="s">
        <v>174</v>
      </c>
      <c r="C180" s="7" t="s">
        <v>174</v>
      </c>
      <c r="D180" s="7" t="s">
        <v>174</v>
      </c>
      <c r="E180" s="7" t="s">
        <v>174</v>
      </c>
      <c r="F180" s="7" t="s">
        <v>174</v>
      </c>
    </row>
    <row r="181" spans="1:6" ht="3.75" customHeight="1" x14ac:dyDescent="0.2"/>
    <row r="182" spans="1:6" ht="15.75" customHeight="1" x14ac:dyDescent="0.2">
      <c r="A182" s="3" t="s">
        <v>140</v>
      </c>
      <c r="B182" s="9">
        <v>-52.3</v>
      </c>
      <c r="C182" s="9">
        <v>-90.6</v>
      </c>
      <c r="D182" s="9">
        <v>-95</v>
      </c>
      <c r="E182" s="9">
        <v>-85.2</v>
      </c>
      <c r="F182" s="9">
        <v>-62</v>
      </c>
    </row>
    <row r="183" spans="1:6" ht="15.75" customHeight="1" x14ac:dyDescent="0.2">
      <c r="A183" s="5" t="s">
        <v>106</v>
      </c>
      <c r="B183" s="7" t="s">
        <v>174</v>
      </c>
      <c r="C183" s="7" t="s">
        <v>174</v>
      </c>
      <c r="D183" s="7" t="s">
        <v>174</v>
      </c>
      <c r="E183" s="7" t="s">
        <v>174</v>
      </c>
      <c r="F183" s="7" t="s">
        <v>174</v>
      </c>
    </row>
    <row r="184" spans="1:6" ht="15.75" customHeight="1" x14ac:dyDescent="0.2">
      <c r="A184" s="3" t="s">
        <v>100</v>
      </c>
      <c r="B184" s="9"/>
      <c r="C184" s="23">
        <f>IFERROR(C182/B182-1,"na")</f>
        <v>0.73231357552581255</v>
      </c>
      <c r="D184" s="23">
        <f>IFERROR(D182/C182-1,"na")</f>
        <v>4.8565121412803558E-2</v>
      </c>
      <c r="E184" s="23">
        <f>IFERROR(E182/D182-1,"na")</f>
        <v>-0.10315789473684212</v>
      </c>
      <c r="F184" s="23">
        <f>IFERROR(F182/E182-1,"na")</f>
        <v>-0.27230046948356812</v>
      </c>
    </row>
    <row r="185" spans="1:6" ht="15.75" customHeight="1" x14ac:dyDescent="0.2">
      <c r="A185" s="5" t="s">
        <v>112</v>
      </c>
      <c r="B185" s="7">
        <v>-13.6</v>
      </c>
      <c r="C185" s="7">
        <v>-23.2</v>
      </c>
      <c r="D185" s="7">
        <v>-27.7</v>
      </c>
      <c r="E185" s="7">
        <v>-55</v>
      </c>
      <c r="F185" s="7">
        <v>-104</v>
      </c>
    </row>
    <row r="186" spans="1:6" ht="15.75" customHeight="1" x14ac:dyDescent="0.2">
      <c r="A186" s="20" t="s">
        <v>113</v>
      </c>
      <c r="B186" s="38">
        <v>-65.900000000000006</v>
      </c>
      <c r="C186" s="38">
        <v>-113.8</v>
      </c>
      <c r="D186" s="38">
        <v>-122.7</v>
      </c>
      <c r="E186" s="38">
        <v>-140.19999999999999</v>
      </c>
      <c r="F186" s="38">
        <v>-166.4</v>
      </c>
    </row>
    <row r="187" spans="1:6" ht="3.75" customHeight="1" x14ac:dyDescent="0.2"/>
    <row r="188" spans="1:6" ht="15.75" customHeight="1" x14ac:dyDescent="0.2">
      <c r="A188" s="3" t="s">
        <v>114</v>
      </c>
      <c r="B188" s="9">
        <v>-14.8</v>
      </c>
      <c r="C188" s="9">
        <v>-15.877000000000001</v>
      </c>
      <c r="D188" s="9">
        <v>-18.2</v>
      </c>
      <c r="E188" s="9">
        <v>-22.7</v>
      </c>
      <c r="F188" s="9">
        <v>-22</v>
      </c>
    </row>
    <row r="189" spans="1:6" ht="15.75" customHeight="1" x14ac:dyDescent="0.2">
      <c r="A189" s="5" t="s">
        <v>116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</row>
    <row r="190" spans="1:6" ht="3.75" customHeight="1" x14ac:dyDescent="0.2"/>
    <row r="191" spans="1:6" ht="15.75" customHeight="1" x14ac:dyDescent="0.2">
      <c r="A191" s="3" t="s">
        <v>117</v>
      </c>
      <c r="B191" s="9">
        <f>B200-B197</f>
        <v>-80</v>
      </c>
      <c r="C191" s="9">
        <f>C200-C197</f>
        <v>-117.8</v>
      </c>
      <c r="D191" s="9">
        <f>D200-D197</f>
        <v>-116.2</v>
      </c>
      <c r="E191" s="9">
        <f>E200-E197</f>
        <v>-117.9</v>
      </c>
      <c r="F191" s="9">
        <f>F200-F197</f>
        <v>-94.4</v>
      </c>
    </row>
    <row r="192" spans="1:6" ht="15.75" customHeight="1" x14ac:dyDescent="0.2">
      <c r="A192" s="5" t="s">
        <v>106</v>
      </c>
      <c r="B192" s="7" t="s">
        <v>175</v>
      </c>
      <c r="C192" s="7" t="s">
        <v>175</v>
      </c>
      <c r="D192" s="7" t="s">
        <v>175</v>
      </c>
      <c r="E192" s="7" t="s">
        <v>175</v>
      </c>
      <c r="F192" s="7" t="s">
        <v>175</v>
      </c>
    </row>
    <row r="193" spans="1:6" ht="15.75" customHeight="1" x14ac:dyDescent="0.2">
      <c r="A193" s="3" t="s">
        <v>100</v>
      </c>
      <c r="B193" s="9"/>
      <c r="C193" s="9"/>
      <c r="D193" s="9" t="s">
        <v>174</v>
      </c>
      <c r="E193" s="9">
        <f>IFERROR(D191/E191-1,"na")</f>
        <v>-1.4418999151823653E-2</v>
      </c>
      <c r="F193" s="9">
        <f>IFERROR(E191/F191-1,"na")</f>
        <v>0.24894067796610164</v>
      </c>
    </row>
    <row r="194" spans="1:6" ht="15.75" hidden="1" customHeight="1" x14ac:dyDescent="0.2">
      <c r="A194" s="5" t="s">
        <v>112</v>
      </c>
      <c r="B194" s="7">
        <v>-10.4</v>
      </c>
      <c r="C194" s="7">
        <v>-20.5</v>
      </c>
      <c r="D194" s="7">
        <v>-27.7</v>
      </c>
      <c r="E194" s="7">
        <v>-55</v>
      </c>
      <c r="F194" s="7">
        <v>-104</v>
      </c>
    </row>
    <row r="195" spans="1:6" ht="15.75" customHeight="1" x14ac:dyDescent="0.2">
      <c r="A195" s="3" t="s">
        <v>118</v>
      </c>
      <c r="B195" s="9">
        <f>B191+B194</f>
        <v>-90.4</v>
      </c>
      <c r="C195" s="9">
        <f>C191+C194</f>
        <v>-138.30000000000001</v>
      </c>
      <c r="D195" s="9">
        <f>D191+D194</f>
        <v>-143.9</v>
      </c>
      <c r="E195" s="9">
        <f>E191+E194</f>
        <v>-172.9</v>
      </c>
      <c r="F195" s="9">
        <f>F191+F194</f>
        <v>-198.4</v>
      </c>
    </row>
    <row r="196" spans="1:6" ht="3.75" customHeight="1" x14ac:dyDescent="0.2"/>
    <row r="197" spans="1:6" ht="15.75" customHeight="1" x14ac:dyDescent="0.2">
      <c r="A197" s="5" t="s">
        <v>151</v>
      </c>
      <c r="B197" s="7">
        <v>12.9</v>
      </c>
      <c r="C197" s="7">
        <v>11.3</v>
      </c>
      <c r="D197" s="7">
        <v>3</v>
      </c>
      <c r="E197" s="7">
        <v>10</v>
      </c>
      <c r="F197" s="7">
        <v>10</v>
      </c>
    </row>
    <row r="198" spans="1:6" ht="15.75" customHeight="1" x14ac:dyDescent="0.2">
      <c r="A198" s="3" t="s">
        <v>120</v>
      </c>
      <c r="B198" s="9">
        <v>0</v>
      </c>
      <c r="C198" s="9">
        <v>0</v>
      </c>
      <c r="D198" s="9">
        <v>0</v>
      </c>
      <c r="E198" s="9">
        <v>0</v>
      </c>
      <c r="F198" s="9">
        <v>0</v>
      </c>
    </row>
    <row r="199" spans="1:6" ht="3.75" customHeight="1" x14ac:dyDescent="0.2"/>
    <row r="200" spans="1:6" ht="15.75" customHeight="1" x14ac:dyDescent="0.2">
      <c r="A200" s="5" t="s">
        <v>119</v>
      </c>
      <c r="B200" s="7">
        <v>-67.099999999999994</v>
      </c>
      <c r="C200" s="7">
        <v>-106.5</v>
      </c>
      <c r="D200" s="7">
        <v>-113.2</v>
      </c>
      <c r="E200" s="7">
        <v>-107.9</v>
      </c>
      <c r="F200" s="7">
        <v>-84.4</v>
      </c>
    </row>
    <row r="201" spans="1:6" ht="15.75" customHeight="1" x14ac:dyDescent="0.2">
      <c r="A201" s="3" t="s">
        <v>106</v>
      </c>
      <c r="B201" s="9"/>
      <c r="C201" s="9"/>
      <c r="D201" s="9" t="str">
        <f>IFERROR(D200/D176,"na")</f>
        <v>na</v>
      </c>
      <c r="E201" s="9" t="str">
        <f>IFERROR(E200/E176,"na")</f>
        <v>na</v>
      </c>
      <c r="F201" s="9" t="str">
        <f>IFERROR(F200/F176,"na")</f>
        <v>na</v>
      </c>
    </row>
    <row r="202" spans="1:6" ht="15.75" customHeight="1" x14ac:dyDescent="0.2">
      <c r="A202" s="5" t="s">
        <v>100</v>
      </c>
      <c r="B202" s="7"/>
      <c r="C202" s="22">
        <f>IFERROR(B200/C200-1,"na")</f>
        <v>-0.36995305164319259</v>
      </c>
      <c r="D202" s="22">
        <f>IFERROR(C200/D200-1,"na")</f>
        <v>-5.9187279151943439E-2</v>
      </c>
      <c r="E202" s="22">
        <f>IFERROR(D200/E200-1,"na")</f>
        <v>4.9119555143651406E-2</v>
      </c>
      <c r="F202" s="22">
        <f>IFERROR(E200/F200-1,"na")</f>
        <v>0.27843601895734604</v>
      </c>
    </row>
    <row r="203" spans="1:6" ht="15.75" customHeight="1" x14ac:dyDescent="0.2">
      <c r="A203" s="3" t="s">
        <v>120</v>
      </c>
      <c r="B203" s="9">
        <f>B185+B189</f>
        <v>-13.6</v>
      </c>
      <c r="C203" s="9">
        <f>C185+C189</f>
        <v>-23.2</v>
      </c>
      <c r="D203" s="9">
        <f>D185+D189</f>
        <v>-27.7</v>
      </c>
      <c r="E203" s="9">
        <f>E185+E189</f>
        <v>-55</v>
      </c>
      <c r="F203" s="9">
        <f>F185+F189</f>
        <v>-104</v>
      </c>
    </row>
    <row r="204" spans="1:6" ht="15.75" customHeight="1" x14ac:dyDescent="0.2">
      <c r="A204" s="20" t="s">
        <v>121</v>
      </c>
      <c r="B204" s="21">
        <f>B200+B203</f>
        <v>-80.699999999999989</v>
      </c>
      <c r="C204" s="21">
        <f>C200+C203</f>
        <v>-129.69999999999999</v>
      </c>
      <c r="D204" s="21">
        <f>D200+D203</f>
        <v>-140.9</v>
      </c>
      <c r="E204" s="21">
        <f>E200+E203</f>
        <v>-162.9</v>
      </c>
      <c r="F204" s="21">
        <f>F200+F203</f>
        <v>-188.4</v>
      </c>
    </row>
    <row r="205" spans="1:6" ht="3.75" customHeight="1" x14ac:dyDescent="0.2"/>
    <row r="206" spans="1:6" ht="15.75" customHeight="1" x14ac:dyDescent="0.2">
      <c r="A206" s="3" t="s">
        <v>122</v>
      </c>
      <c r="B206" s="39">
        <v>1825.075</v>
      </c>
      <c r="C206" s="39">
        <v>1895.6110000000001</v>
      </c>
      <c r="D206" s="39">
        <v>2775.643</v>
      </c>
      <c r="E206" s="39">
        <v>3037.3</v>
      </c>
      <c r="F206" s="3"/>
    </row>
    <row r="207" spans="1:6" ht="15.75" customHeight="1" x14ac:dyDescent="0.2">
      <c r="A207" s="5" t="s">
        <v>123</v>
      </c>
      <c r="B207" s="40">
        <v>2898.1610000000001</v>
      </c>
      <c r="C207" s="40">
        <v>2950.4270000000001</v>
      </c>
      <c r="D207" s="40">
        <v>3939.4780000000001</v>
      </c>
      <c r="E207" s="40">
        <v>4455.2</v>
      </c>
      <c r="F207" s="5"/>
    </row>
    <row r="208" spans="1:6" ht="15.75" customHeight="1" x14ac:dyDescent="0.2">
      <c r="A208" s="3" t="s">
        <v>176</v>
      </c>
      <c r="B208" s="39">
        <v>98.340999999999994</v>
      </c>
      <c r="C208" s="39">
        <v>76</v>
      </c>
      <c r="D208" s="39">
        <v>87</v>
      </c>
      <c r="E208" s="39">
        <v>94.3</v>
      </c>
      <c r="F208" s="39">
        <v>31</v>
      </c>
    </row>
    <row r="209" spans="1:6" ht="15.75" customHeight="1" x14ac:dyDescent="0.2">
      <c r="A209" s="5" t="s">
        <v>177</v>
      </c>
      <c r="B209" s="40">
        <v>89.212999999999994</v>
      </c>
      <c r="C209" s="40">
        <v>55</v>
      </c>
      <c r="D209" s="40">
        <v>64</v>
      </c>
      <c r="E209" s="40">
        <v>70</v>
      </c>
      <c r="F209" s="41">
        <v>-77</v>
      </c>
    </row>
    <row r="210" spans="1:6" ht="15.75" customHeight="1" x14ac:dyDescent="0.2">
      <c r="A210" s="20" t="s">
        <v>130</v>
      </c>
      <c r="B210" s="21">
        <v>-26.939</v>
      </c>
      <c r="C210" s="21">
        <v>-46</v>
      </c>
      <c r="D210" s="21">
        <v>-43</v>
      </c>
      <c r="E210" s="21">
        <v>33</v>
      </c>
      <c r="F210" s="21">
        <v>22</v>
      </c>
    </row>
    <row r="211" spans="1:6" ht="15.75" customHeight="1" x14ac:dyDescent="0.2">
      <c r="A211" s="3" t="s">
        <v>131</v>
      </c>
      <c r="B211" s="29">
        <v>-16.774000000000001</v>
      </c>
      <c r="C211" s="29">
        <v>-25.5</v>
      </c>
      <c r="D211" s="29">
        <v>-53.6</v>
      </c>
      <c r="E211" s="29">
        <v>-56.7</v>
      </c>
      <c r="F211" s="29">
        <v>-33.9</v>
      </c>
    </row>
    <row r="213" spans="1:6" ht="15" customHeight="1" x14ac:dyDescent="0.2">
      <c r="A213" t="s">
        <v>178</v>
      </c>
      <c r="B213">
        <f>B211+B172+B123+B48</f>
        <v>-388.59700000000004</v>
      </c>
      <c r="C213">
        <f>C211+C172+C123+C48</f>
        <v>-469.6</v>
      </c>
      <c r="D213">
        <f>D211+D172+D123+D48</f>
        <v>-857.00000000000011</v>
      </c>
      <c r="E213">
        <f>E211+E172+E123+E48</f>
        <v>-554.70000000000005</v>
      </c>
      <c r="F213">
        <f>F211+F172+F123+F48</f>
        <v>-308.89999999999998</v>
      </c>
    </row>
  </sheetData>
  <mergeCells count="1">
    <mergeCell ref="A2:F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9"/>
  <sheetViews>
    <sheetView zoomScale="162" zoomScaleNormal="162" workbookViewId="0">
      <pane xSplit="1" ySplit="4" topLeftCell="B5" activePane="bottomRight" state="frozen"/>
      <selection pane="topRight" activeCell="B1" sqref="B1"/>
      <selection pane="bottomLeft" activeCell="A24" sqref="A24"/>
      <selection pane="bottomRight" activeCell="F12" sqref="F12"/>
    </sheetView>
  </sheetViews>
  <sheetFormatPr baseColWidth="10" defaultColWidth="8.83203125" defaultRowHeight="15" customHeight="1" x14ac:dyDescent="0.2"/>
  <cols>
    <col min="1" max="1" width="36.6640625" customWidth="1"/>
    <col min="2" max="6" width="13.6640625" customWidth="1"/>
  </cols>
  <sheetData>
    <row r="1" spans="1:6" ht="3.75" customHeight="1" x14ac:dyDescent="0.2"/>
    <row r="2" spans="1:6" ht="25.5" customHeight="1" x14ac:dyDescent="0.2">
      <c r="A2" s="287" t="s">
        <v>179</v>
      </c>
      <c r="B2" s="288"/>
      <c r="C2" s="288"/>
      <c r="D2" s="288"/>
      <c r="E2" s="288"/>
      <c r="F2" s="289"/>
    </row>
    <row r="3" spans="1:6" ht="3.75" customHeight="1" x14ac:dyDescent="0.2"/>
    <row r="4" spans="1:6" ht="18" customHeight="1" x14ac:dyDescent="0.2">
      <c r="A4" s="1"/>
      <c r="B4" s="2">
        <v>2021</v>
      </c>
      <c r="C4" s="2">
        <v>2022</v>
      </c>
      <c r="D4" s="2">
        <v>2023</v>
      </c>
      <c r="E4" s="2">
        <v>2024</v>
      </c>
      <c r="F4" s="2">
        <v>2025</v>
      </c>
    </row>
    <row r="5" spans="1:6" ht="15.75" customHeight="1" x14ac:dyDescent="0.2">
      <c r="A5" s="42" t="s">
        <v>139</v>
      </c>
      <c r="B5" s="43">
        <v>24054.400000000001</v>
      </c>
      <c r="C5" s="43">
        <v>25435.5</v>
      </c>
      <c r="D5" s="43">
        <f>'Income Statement'!D5+'Income Statement'!D54+'Income Statement'!D136+'Income Statement'!D177</f>
        <v>18265.899999999998</v>
      </c>
      <c r="E5" s="43">
        <f>'Income Statement'!E5+'Income Statement'!E54+'Income Statement'!E136+'Income Statement'!E177</f>
        <v>16196.78</v>
      </c>
      <c r="F5" s="43">
        <f>'Income Statement'!F5+'Income Statement'!F54+'Income Statement'!F136+'Income Statement'!F177</f>
        <v>20987.3</v>
      </c>
    </row>
    <row r="6" spans="1:6" ht="15.75" customHeight="1" x14ac:dyDescent="0.2">
      <c r="A6" s="5" t="s">
        <v>100</v>
      </c>
      <c r="B6" s="7"/>
      <c r="C6" s="22">
        <f>C5/B5-1</f>
        <v>5.7415691100172861E-2</v>
      </c>
      <c r="D6" s="22">
        <f>D5/C5-1</f>
        <v>-0.28187375911619594</v>
      </c>
      <c r="E6" s="22">
        <f>E5/D5-1</f>
        <v>-0.11327774705872673</v>
      </c>
      <c r="F6" s="22">
        <f>F5/E5-1</f>
        <v>0.2957698999430749</v>
      </c>
    </row>
    <row r="7" spans="1:6" ht="15.75" customHeight="1" x14ac:dyDescent="0.2">
      <c r="A7" s="3" t="s">
        <v>180</v>
      </c>
      <c r="B7" s="9">
        <v>176.9</v>
      </c>
      <c r="C7" s="9">
        <v>184.55199999999999</v>
      </c>
      <c r="D7" s="9">
        <v>148.5</v>
      </c>
      <c r="E7" s="9">
        <v>137.196</v>
      </c>
      <c r="F7" s="9">
        <v>170.7</v>
      </c>
    </row>
    <row r="8" spans="1:6" ht="15.75" customHeight="1" x14ac:dyDescent="0.2">
      <c r="A8" s="5" t="s">
        <v>181</v>
      </c>
      <c r="B8" s="7">
        <f>B5+B7</f>
        <v>24231.300000000003</v>
      </c>
      <c r="C8" s="7">
        <f>C5+C7</f>
        <v>25620.052</v>
      </c>
      <c r="D8" s="7">
        <f>D5+D7</f>
        <v>18414.399999999998</v>
      </c>
      <c r="E8" s="7">
        <f>E5+E7</f>
        <v>16333.976000000001</v>
      </c>
      <c r="F8" s="7">
        <f>F5+F7</f>
        <v>21158</v>
      </c>
    </row>
    <row r="9" spans="1:6" ht="15.75" customHeight="1" x14ac:dyDescent="0.2">
      <c r="A9" s="3" t="s">
        <v>182</v>
      </c>
      <c r="B9" s="9">
        <f>'Income Statement'!B60+'Income Statement'!B9+'Income Statement'!B140+'Income Statement'!B179</f>
        <v>3963.3100000000009</v>
      </c>
      <c r="C9" s="9">
        <f>'Income Statement'!C60+'Income Statement'!C9+'Income Statement'!C140+'Income Statement'!C179</f>
        <v>4155.1970000000001</v>
      </c>
      <c r="D9" s="9">
        <f>'Income Statement'!D60+'Income Statement'!D9+'Income Statement'!D140+'Income Statement'!D179</f>
        <v>3875.7</v>
      </c>
      <c r="E9" s="9">
        <f>'Income Statement'!E60+'Income Statement'!E9+'Income Statement'!E140+'Income Statement'!E179</f>
        <v>3496</v>
      </c>
      <c r="F9" s="9">
        <f>'Income Statement'!F60+'Income Statement'!F9+'Income Statement'!F140+'Income Statement'!F179</f>
        <v>3609</v>
      </c>
    </row>
    <row r="10" spans="1:6" ht="15.75" customHeight="1" x14ac:dyDescent="0.2">
      <c r="A10" s="5" t="s">
        <v>100</v>
      </c>
      <c r="B10" s="7"/>
      <c r="C10" s="22">
        <f>IFERROR(C9/B9-1,"na")</f>
        <v>4.8415844332136304E-2</v>
      </c>
      <c r="D10" s="22">
        <f>IFERROR(D9/C9-1,"na")</f>
        <v>-6.7264440169744089E-2</v>
      </c>
      <c r="E10" s="22">
        <f>IFERROR(E9/D9-1,"na")</f>
        <v>-9.7969399076295871E-2</v>
      </c>
      <c r="F10" s="22">
        <f>IFERROR(F9/E9-1,"na")</f>
        <v>3.2322654462242584E-2</v>
      </c>
    </row>
    <row r="11" spans="1:6" ht="15.75" customHeight="1" x14ac:dyDescent="0.2">
      <c r="A11" s="20" t="s">
        <v>183</v>
      </c>
      <c r="B11" s="38">
        <v>-21644.3</v>
      </c>
      <c r="C11" s="38">
        <v>-22875.5</v>
      </c>
      <c r="D11" s="38">
        <v>-15778.9</v>
      </c>
      <c r="E11" s="38">
        <v>-12643.636</v>
      </c>
      <c r="F11" s="38">
        <v>-16682.400000000001</v>
      </c>
    </row>
    <row r="12" spans="1:6" ht="15.75" customHeight="1" x14ac:dyDescent="0.2">
      <c r="A12" s="20" t="s">
        <v>184</v>
      </c>
      <c r="B12" s="44">
        <f>-B11/B5</f>
        <v>0.89980627244911526</v>
      </c>
      <c r="C12" s="44">
        <f>-C11/C5</f>
        <v>0.89935326610446031</v>
      </c>
      <c r="D12" s="44">
        <f>-D11/D5</f>
        <v>0.86384465041415981</v>
      </c>
      <c r="E12" s="44">
        <f>-E11/E5</f>
        <v>0.78062651959216589</v>
      </c>
      <c r="F12" s="44">
        <f>-F11/F5</f>
        <v>0.79488071357439982</v>
      </c>
    </row>
    <row r="13" spans="1:6" ht="15.75" customHeight="1" x14ac:dyDescent="0.2">
      <c r="A13" s="3" t="s">
        <v>185</v>
      </c>
      <c r="B13" s="9">
        <f>B8+B11</f>
        <v>2587.0000000000036</v>
      </c>
      <c r="C13" s="9">
        <f>C8+C11</f>
        <v>2744.5519999999997</v>
      </c>
      <c r="D13" s="9">
        <f>D8+D11</f>
        <v>2635.4999999999982</v>
      </c>
      <c r="E13" s="9">
        <f>E8+E11</f>
        <v>3690.34</v>
      </c>
      <c r="F13" s="9">
        <f>F8+F11</f>
        <v>4475.5999999999985</v>
      </c>
    </row>
    <row r="14" spans="1:6" ht="15.75" customHeight="1" x14ac:dyDescent="0.2">
      <c r="A14" s="5" t="s">
        <v>106</v>
      </c>
      <c r="B14" s="22">
        <f>IFERROR(B13/B9,"na")</f>
        <v>0.65273723226293257</v>
      </c>
      <c r="C14" s="22">
        <f>IFERROR(C13/C9,"na")</f>
        <v>0.66051068096169674</v>
      </c>
      <c r="D14" s="22">
        <f>IFERROR(D13/D9,"na")</f>
        <v>0.68000619242975424</v>
      </c>
      <c r="E14" s="22">
        <f>IFERROR(E13/E9,"na")</f>
        <v>1.0555892448512587</v>
      </c>
      <c r="F14" s="22">
        <f>IFERROR(F13/F9,"na")</f>
        <v>1.2401219174286502</v>
      </c>
    </row>
    <row r="15" spans="1:6" ht="15.75" customHeight="1" x14ac:dyDescent="0.2">
      <c r="A15" s="3" t="s">
        <v>100</v>
      </c>
      <c r="B15" s="23"/>
      <c r="C15" s="23">
        <f>-4%</f>
        <v>-0.04</v>
      </c>
      <c r="D15" s="23">
        <f>-4%</f>
        <v>-0.04</v>
      </c>
      <c r="E15" s="23">
        <f>IFERROR(E13/D13-1,"na")</f>
        <v>0.40024283817112605</v>
      </c>
      <c r="F15" s="23">
        <f>IFERROR(F13/E13-1,"na")</f>
        <v>0.21278798159519141</v>
      </c>
    </row>
    <row r="16" spans="1:6" ht="3.75" customHeight="1" x14ac:dyDescent="0.2"/>
    <row r="17" spans="1:6" ht="15.75" customHeight="1" x14ac:dyDescent="0.2">
      <c r="A17" s="5" t="s">
        <v>186</v>
      </c>
      <c r="B17" s="7">
        <v>-853.14</v>
      </c>
      <c r="C17" s="7">
        <v>-906.50699999999995</v>
      </c>
      <c r="D17" s="7">
        <v>-981.4</v>
      </c>
      <c r="E17" s="7">
        <v>-996.6</v>
      </c>
      <c r="F17" s="7">
        <v>-997.9</v>
      </c>
    </row>
    <row r="18" spans="1:6" ht="15.75" customHeight="1" x14ac:dyDescent="0.2">
      <c r="A18" s="3" t="s">
        <v>172</v>
      </c>
      <c r="B18" s="23">
        <f>IFERROR(-B17/B9,"na")</f>
        <v>0.21525946746532565</v>
      </c>
      <c r="C18" s="23">
        <f>IFERROR(-C17/C9,"na")</f>
        <v>0.21816221950487544</v>
      </c>
      <c r="D18" s="23">
        <f>IFERROR(-D17/D9,"na")</f>
        <v>0.2532187733828728</v>
      </c>
      <c r="E18" s="23">
        <f>IFERROR(-E17/E9,"na")</f>
        <v>0.28506864988558356</v>
      </c>
      <c r="F18" s="23">
        <f>IFERROR(-F17/F9,"na")</f>
        <v>0.27650318647824884</v>
      </c>
    </row>
    <row r="19" spans="1:6" ht="15.75" customHeight="1" x14ac:dyDescent="0.2">
      <c r="A19" s="5" t="s">
        <v>187</v>
      </c>
      <c r="B19" s="7">
        <v>-338.77699999999999</v>
      </c>
      <c r="C19" s="7">
        <v>-328.38200000000001</v>
      </c>
      <c r="D19" s="7">
        <v>-351.1</v>
      </c>
      <c r="E19" s="7">
        <v>-1716.7</v>
      </c>
      <c r="F19" s="7">
        <v>-296.10000000000002</v>
      </c>
    </row>
    <row r="20" spans="1:6" ht="15.75" customHeight="1" x14ac:dyDescent="0.2">
      <c r="A20" s="3" t="s">
        <v>172</v>
      </c>
      <c r="B20" s="23">
        <f>IFERROR(-B19/B9,"na")</f>
        <v>8.547829970403524E-2</v>
      </c>
      <c r="C20" s="23">
        <f>IFERROR(-C19/C9,"na")</f>
        <v>7.9029225329148051E-2</v>
      </c>
      <c r="D20" s="23">
        <f>IFERROR(-D19/D9,"na")</f>
        <v>9.0590086952034479E-2</v>
      </c>
      <c r="E20" s="23">
        <f>IFERROR(-E19/E9,"na")</f>
        <v>0.49104691075514878</v>
      </c>
      <c r="F20" s="23">
        <f>IFERROR(-F19/F9,"na")</f>
        <v>8.2044887780548637E-2</v>
      </c>
    </row>
    <row r="21" spans="1:6" ht="15.75" customHeight="1" x14ac:dyDescent="0.2">
      <c r="A21" s="5" t="s">
        <v>188</v>
      </c>
      <c r="B21" s="7">
        <v>-517.31299999999999</v>
      </c>
      <c r="C21" s="7">
        <v>-696.62099999999998</v>
      </c>
      <c r="D21" s="7">
        <v>-707.3</v>
      </c>
      <c r="E21" s="7">
        <v>-895.8</v>
      </c>
      <c r="F21" s="7">
        <v>-540.5</v>
      </c>
    </row>
    <row r="22" spans="1:6" ht="15.75" customHeight="1" x14ac:dyDescent="0.2">
      <c r="A22" s="3" t="s">
        <v>172</v>
      </c>
      <c r="B22" s="23">
        <f>IFERROR(-B21/B9,"na")</f>
        <v>0.13052549510383993</v>
      </c>
      <c r="C22" s="23">
        <f>IFERROR(-C21/C9,"na")</f>
        <v>0.16765053498065194</v>
      </c>
      <c r="D22" s="23">
        <f>IFERROR(-D21/D9,"na")</f>
        <v>0.18249606522692674</v>
      </c>
      <c r="E22" s="23">
        <f>IFERROR(-E21/E9,"na")</f>
        <v>0.25623569794050344</v>
      </c>
      <c r="F22" s="23">
        <f>IFERROR(-F21/F9,"na")</f>
        <v>0.14976447769465226</v>
      </c>
    </row>
    <row r="23" spans="1:6" ht="3.75" customHeight="1" x14ac:dyDescent="0.2">
      <c r="B23" s="45"/>
      <c r="C23" s="45"/>
      <c r="D23" s="45"/>
      <c r="E23" s="45"/>
      <c r="F23" s="45"/>
    </row>
    <row r="24" spans="1:6" ht="15.75" customHeight="1" x14ac:dyDescent="0.2">
      <c r="A24" s="5" t="s">
        <v>140</v>
      </c>
      <c r="B24" s="7">
        <f>'Income Statement'!B12+'Income Statement'!B65+'Income Statement'!B143+'Income Statement'!B182</f>
        <v>1250.895</v>
      </c>
      <c r="C24" s="7">
        <f>'Income Statement'!C12+'Income Statement'!C65+'Income Statement'!C143+'Income Statement'!C182</f>
        <v>1150.6070000000002</v>
      </c>
      <c r="D24" s="7">
        <f>'Income Statement'!D12+'Income Statement'!D65+'Income Statement'!D143+'Income Statement'!D182</f>
        <v>972</v>
      </c>
      <c r="E24" s="7">
        <f>'Income Statement'!E12+'Income Statement'!E65+'Income Statement'!E143+'Income Statement'!E182</f>
        <v>763.8</v>
      </c>
      <c r="F24" s="7">
        <f>'Income Statement'!F12+'Income Statement'!F65+'Income Statement'!F143+'Income Statement'!F182</f>
        <v>846</v>
      </c>
    </row>
    <row r="25" spans="1:6" ht="15.75" customHeight="1" x14ac:dyDescent="0.2">
      <c r="A25" s="3" t="s">
        <v>106</v>
      </c>
      <c r="B25" s="23">
        <f>IFERROR(B24/B9,"na")</f>
        <v>0.31561876310457665</v>
      </c>
      <c r="C25" s="23">
        <f>IFERROR(C24/C9,"na")</f>
        <v>0.27690792999706154</v>
      </c>
      <c r="D25" s="23">
        <f>IFERROR(D24/D9,"na")</f>
        <v>0.25079340506231135</v>
      </c>
      <c r="E25" s="23">
        <f>IFERROR(E24/E9,"na")</f>
        <v>0.21847826086956521</v>
      </c>
      <c r="F25" s="23">
        <f>IFERROR(F24/F9,"na")</f>
        <v>0.23441396508728179</v>
      </c>
    </row>
    <row r="26" spans="1:6" ht="15.75" customHeight="1" x14ac:dyDescent="0.2">
      <c r="A26" s="5" t="s">
        <v>100</v>
      </c>
      <c r="B26" s="22"/>
      <c r="C26" s="22">
        <f>IFERROR(C24/B24-1,"na")</f>
        <v>-8.017299613476736E-2</v>
      </c>
      <c r="D26" s="22">
        <f>IFERROR(D24/C24-1,"na")</f>
        <v>-0.15522850113027309</v>
      </c>
      <c r="E26" s="22">
        <f>IFERROR(E24/D24-1,"na")</f>
        <v>-0.21419753086419757</v>
      </c>
      <c r="F26" s="22">
        <f>IFERROR(F24/E24-1,"na")</f>
        <v>0.10761979575805181</v>
      </c>
    </row>
    <row r="27" spans="1:6" ht="15.75" customHeight="1" x14ac:dyDescent="0.2">
      <c r="A27" s="3" t="s">
        <v>112</v>
      </c>
      <c r="B27" s="9">
        <f>'Income Statement'!B20+'Income Statement'!B146+'Income Statement'!B185+'Income Statement'!B91</f>
        <v>-75.18100000000004</v>
      </c>
      <c r="C27" s="9">
        <f>'Income Statement'!C20+'Income Statement'!C91+'Income Statement'!C146+'Income Statement'!C185</f>
        <v>-32.403999999999996</v>
      </c>
      <c r="D27" s="9">
        <f>'Income Statement'!D20+'Income Statement'!D91+'Income Statement'!D146+'Income Statement'!D185</f>
        <v>-82.4</v>
      </c>
      <c r="E27" s="9">
        <f>'Income Statement'!E20+'Income Statement'!E91+'Income Statement'!E146+'Income Statement'!E185</f>
        <v>-1783</v>
      </c>
      <c r="F27" s="9">
        <f>'Income Statement'!F20+'Income Statement'!F91+'Income Statement'!F146+'Income Statement'!F185</f>
        <v>367</v>
      </c>
    </row>
    <row r="28" spans="1:6" ht="15.75" customHeight="1" x14ac:dyDescent="0.2">
      <c r="A28" s="20" t="s">
        <v>113</v>
      </c>
      <c r="B28" s="38">
        <f>'Income Statement'!B186+'Income Statement'!B147+'Income Statement'!B76+'Income Statement'!B21</f>
        <v>1175.7139999999999</v>
      </c>
      <c r="C28" s="38">
        <f>'Income Statement'!C186+'Income Statement'!C147+'Income Statement'!C76+'Income Statement'!C21</f>
        <v>1118.203</v>
      </c>
      <c r="D28" s="38">
        <f>'Income Statement'!D186+'Income Statement'!D147+'Income Statement'!D76+'Income Statement'!D21</f>
        <v>889.6</v>
      </c>
      <c r="E28" s="38">
        <f>'Income Statement'!E186+'Income Statement'!E147+'Income Statement'!E76+'Income Statement'!E21</f>
        <v>-1025.2</v>
      </c>
      <c r="F28" s="38">
        <f>'Income Statement'!F186+'Income Statement'!F147+'Income Statement'!F76+'Income Statement'!F21</f>
        <v>1212.5999999999999</v>
      </c>
    </row>
    <row r="29" spans="1:6" ht="15.75" customHeight="1" x14ac:dyDescent="0.2">
      <c r="A29" s="3" t="s">
        <v>106</v>
      </c>
      <c r="B29" s="23">
        <f>B28/B9</f>
        <v>0.29664951770111336</v>
      </c>
      <c r="C29" s="23">
        <f>C28/C9</f>
        <v>0.2691095031114048</v>
      </c>
      <c r="D29" s="23">
        <f>D28/D9</f>
        <v>0.22953272957143228</v>
      </c>
      <c r="E29" s="23">
        <f>E28/E9</f>
        <v>-0.29324942791762015</v>
      </c>
      <c r="F29" s="23">
        <f>F28/F9</f>
        <v>0.33599334995843722</v>
      </c>
    </row>
    <row r="30" spans="1:6" ht="15.75" customHeight="1" x14ac:dyDescent="0.2">
      <c r="A30" s="5" t="s">
        <v>100</v>
      </c>
      <c r="B30" s="22"/>
      <c r="C30" s="22">
        <f>IFERROR(C28/B28-1,"na")</f>
        <v>-4.8915807755967822E-2</v>
      </c>
      <c r="D30" s="22">
        <f>IFERROR(D28/C28-1,"na")</f>
        <v>-0.20443783463288867</v>
      </c>
      <c r="E30" s="22">
        <f>IFERROR(E28/D28-1,"na")</f>
        <v>-2.1524280575539567</v>
      </c>
      <c r="F30" s="22">
        <f>F28/E28</f>
        <v>-1.1827936012485367</v>
      </c>
    </row>
    <row r="31" spans="1:6" ht="3.75" customHeight="1" x14ac:dyDescent="0.2"/>
    <row r="32" spans="1:6" ht="15.75" customHeight="1" x14ac:dyDescent="0.2">
      <c r="A32" s="3" t="s">
        <v>114</v>
      </c>
      <c r="B32" s="9">
        <f>'Income Statement'!B23+'Income Statement'!B79+'Income Statement'!B149+'Income Statement'!B188</f>
        <v>-279.53499999999997</v>
      </c>
      <c r="C32" s="9">
        <f>'Income Statement'!C23+'Income Statement'!C79+'Income Statement'!C149+'Income Statement'!C188</f>
        <v>-285.93200000000002</v>
      </c>
      <c r="D32" s="9">
        <f>'Income Statement'!D23+'Income Statement'!D79+'Income Statement'!D149+'Income Statement'!D188</f>
        <v>-298.59999999999997</v>
      </c>
      <c r="E32" s="9">
        <f>'Income Statement'!E23+'Income Statement'!E79+'Income Statement'!E149+'Income Statement'!E188</f>
        <v>-285.3</v>
      </c>
      <c r="F32" s="9">
        <f>'Income Statement'!F23+'Income Statement'!F79+'Income Statement'!F149+'Income Statement'!F188</f>
        <v>-267.7</v>
      </c>
    </row>
    <row r="33" spans="1:6" ht="15.75" customHeight="1" x14ac:dyDescent="0.2">
      <c r="A33" s="5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</row>
    <row r="34" spans="1:6" ht="3.75" customHeight="1" x14ac:dyDescent="0.2"/>
    <row r="35" spans="1:6" ht="15.75" customHeight="1" x14ac:dyDescent="0.2">
      <c r="A35" s="3" t="s">
        <v>189</v>
      </c>
      <c r="B35" s="9">
        <v>1.2</v>
      </c>
      <c r="C35" s="9">
        <v>5.7</v>
      </c>
      <c r="D35" s="9">
        <v>-5.0999999999999996</v>
      </c>
      <c r="E35" s="9">
        <v>0</v>
      </c>
      <c r="F35" s="9">
        <v>-9.8000000000000007</v>
      </c>
    </row>
    <row r="36" spans="1:6" ht="15.75" customHeight="1" x14ac:dyDescent="0.2">
      <c r="A36" s="5" t="s">
        <v>117</v>
      </c>
      <c r="B36" s="7">
        <f>B48-B46</f>
        <v>954.02300000000002</v>
      </c>
      <c r="C36" s="7">
        <f>C48-C46</f>
        <v>851.17699999999991</v>
      </c>
      <c r="D36" s="7">
        <f>D48-D46</f>
        <v>673.05900000000008</v>
      </c>
      <c r="E36" s="7">
        <f>E48-E46</f>
        <v>519.53</v>
      </c>
      <c r="F36" s="7">
        <f>F48-F46</f>
        <v>599</v>
      </c>
    </row>
    <row r="37" spans="1:6" ht="15.75" customHeight="1" x14ac:dyDescent="0.2">
      <c r="A37" s="3" t="s">
        <v>106</v>
      </c>
      <c r="B37" s="23">
        <f>B36/B9</f>
        <v>0.24071369638004592</v>
      </c>
      <c r="C37" s="23">
        <f>C36/C9</f>
        <v>0.20484636468499565</v>
      </c>
      <c r="D37" s="23">
        <f>D36/D9</f>
        <v>0.17366127409242205</v>
      </c>
      <c r="E37" s="23">
        <f>E36/E9</f>
        <v>0.14860697940503431</v>
      </c>
      <c r="F37" s="23">
        <f>F36/F9</f>
        <v>0.16597395400387918</v>
      </c>
    </row>
    <row r="38" spans="1:6" ht="15.75" customHeight="1" x14ac:dyDescent="0.2">
      <c r="A38" s="5" t="s">
        <v>100</v>
      </c>
      <c r="B38" s="22"/>
      <c r="C38" s="22">
        <f>C36/B36-1</f>
        <v>-0.10780243243611543</v>
      </c>
      <c r="D38" s="22">
        <f>D36/C36-1</f>
        <v>-0.20926082354198927</v>
      </c>
      <c r="E38" s="22">
        <f>E36/D36-1</f>
        <v>-0.22810630271640386</v>
      </c>
      <c r="F38" s="22">
        <f>F36/E36-1</f>
        <v>0.15296518006659876</v>
      </c>
    </row>
    <row r="39" spans="1:6" ht="15.75" customHeight="1" x14ac:dyDescent="0.2">
      <c r="A39" s="3" t="s">
        <v>112</v>
      </c>
      <c r="B39" s="9">
        <f>B27</f>
        <v>-75.18100000000004</v>
      </c>
      <c r="C39" s="9">
        <f>C27</f>
        <v>-32.403999999999996</v>
      </c>
      <c r="D39" s="9">
        <f>D27</f>
        <v>-82.4</v>
      </c>
      <c r="E39" s="9">
        <f>E27</f>
        <v>-1783</v>
      </c>
      <c r="F39" s="9">
        <f>F27</f>
        <v>367</v>
      </c>
    </row>
    <row r="40" spans="1:6" ht="15.75" customHeight="1" x14ac:dyDescent="0.2">
      <c r="A40" s="5" t="s">
        <v>118</v>
      </c>
      <c r="B40" s="7">
        <f>B36+B39</f>
        <v>878.84199999999998</v>
      </c>
      <c r="C40" s="7">
        <f>C36+C39</f>
        <v>818.77299999999991</v>
      </c>
      <c r="D40" s="7">
        <f>D36+D39</f>
        <v>590.65900000000011</v>
      </c>
      <c r="E40" s="7">
        <f>E36+E39</f>
        <v>-1263.47</v>
      </c>
      <c r="F40" s="7">
        <f>F36+F39</f>
        <v>966</v>
      </c>
    </row>
    <row r="41" spans="1:6" ht="15.75" customHeight="1" x14ac:dyDescent="0.2">
      <c r="A41" s="3" t="s">
        <v>106</v>
      </c>
      <c r="B41" s="45">
        <f>B40/B9</f>
        <v>0.22174445097658266</v>
      </c>
      <c r="C41" s="45">
        <f>C40/C9</f>
        <v>0.19704793779933896</v>
      </c>
      <c r="D41" s="45">
        <f>D40/D9</f>
        <v>0.15240059860154298</v>
      </c>
      <c r="E41" s="45">
        <f>E40/E9</f>
        <v>-0.36140446224256295</v>
      </c>
      <c r="F41" s="45">
        <f>F40/F9</f>
        <v>0.26766417290108063</v>
      </c>
    </row>
    <row r="42" spans="1:6" ht="15.75" customHeight="1" x14ac:dyDescent="0.2">
      <c r="A42" s="5" t="s">
        <v>100</v>
      </c>
      <c r="B42" s="7"/>
      <c r="C42" s="7"/>
      <c r="D42" s="7"/>
      <c r="E42" s="7"/>
      <c r="F42" s="7"/>
    </row>
    <row r="43" spans="1:6" ht="3.75" customHeight="1" x14ac:dyDescent="0.2"/>
    <row r="44" spans="1:6" ht="15.75" customHeight="1" x14ac:dyDescent="0.2">
      <c r="A44" s="3" t="s">
        <v>151</v>
      </c>
      <c r="B44" s="9">
        <f>'Income Statement'!B197+'Income Statement'!B95</f>
        <v>20.559000000000001</v>
      </c>
      <c r="C44" s="9">
        <f>'Income Statement'!C197+'Income Statement'!C95</f>
        <v>16.200000000000003</v>
      </c>
      <c r="D44" s="9">
        <f>'Income Statement'!D197+'Income Statement'!D95</f>
        <v>0.39999999999999991</v>
      </c>
      <c r="E44" s="9">
        <f>'Income Statement'!E197+'Income Statement'!E95</f>
        <v>-41.03</v>
      </c>
      <c r="F44" s="9">
        <f>'Income Statement'!F197+'Income Statement'!F95</f>
        <v>-20</v>
      </c>
    </row>
    <row r="45" spans="1:6" ht="15.75" customHeight="1" x14ac:dyDescent="0.2">
      <c r="A45" s="5" t="s">
        <v>112</v>
      </c>
      <c r="B45" s="7">
        <v>-3.2</v>
      </c>
      <c r="C45" s="7">
        <v>-2.7</v>
      </c>
      <c r="D45" s="7">
        <v>0</v>
      </c>
      <c r="E45" s="7">
        <v>0</v>
      </c>
      <c r="F45" s="7">
        <v>0</v>
      </c>
    </row>
    <row r="46" spans="1:6" ht="15.75" customHeight="1" x14ac:dyDescent="0.2">
      <c r="A46" s="3" t="s">
        <v>190</v>
      </c>
      <c r="B46" s="9">
        <f>B44+B45</f>
        <v>17.359000000000002</v>
      </c>
      <c r="C46" s="9">
        <f>C44+C45</f>
        <v>13.500000000000004</v>
      </c>
      <c r="D46" s="9">
        <f>D44+D45</f>
        <v>0.39999999999999991</v>
      </c>
      <c r="E46" s="9">
        <f>E44+E45</f>
        <v>-41.03</v>
      </c>
      <c r="F46" s="9">
        <f>F44+F45</f>
        <v>-20</v>
      </c>
    </row>
    <row r="47" spans="1:6" ht="3.75" customHeight="1" x14ac:dyDescent="0.2"/>
    <row r="48" spans="1:6" ht="15.75" customHeight="1" x14ac:dyDescent="0.2">
      <c r="A48" s="34" t="s">
        <v>191</v>
      </c>
      <c r="B48" s="46">
        <f>'Income Statement'!B200+'Income Statement'!B157+'Income Statement'!B98+'Income Statement'!B33</f>
        <v>971.38200000000006</v>
      </c>
      <c r="C48" s="46">
        <f>'Income Statement'!C200+'Income Statement'!C157+'Income Statement'!C98+'Income Statement'!C33</f>
        <v>864.67699999999991</v>
      </c>
      <c r="D48" s="46">
        <f>'Income Statement'!D200+'Income Statement'!D157+'Income Statement'!D98+'Income Statement'!D33</f>
        <v>673.45900000000006</v>
      </c>
      <c r="E48" s="46">
        <f>'Income Statement'!E200+'Income Statement'!E157+'Income Statement'!E98+'Income Statement'!E33</f>
        <v>478.5</v>
      </c>
      <c r="F48" s="46">
        <v>579</v>
      </c>
    </row>
    <row r="49" spans="1:6" ht="15.75" customHeight="1" x14ac:dyDescent="0.2">
      <c r="A49" s="3" t="s">
        <v>106</v>
      </c>
      <c r="B49" s="23">
        <f>B48/B9</f>
        <v>0.24509362124083148</v>
      </c>
      <c r="C49" s="23">
        <f>C48/C9</f>
        <v>0.20809530811655857</v>
      </c>
      <c r="D49" s="23">
        <f>D48/D9</f>
        <v>0.17376448125499913</v>
      </c>
      <c r="E49" s="23">
        <f>E48/E9</f>
        <v>0.13687070938215104</v>
      </c>
      <c r="F49" s="23">
        <f>F48/F9</f>
        <v>0.16043225270157938</v>
      </c>
    </row>
    <row r="50" spans="1:6" ht="15.75" customHeight="1" x14ac:dyDescent="0.2">
      <c r="A50" s="5" t="s">
        <v>100</v>
      </c>
      <c r="B50" s="22"/>
      <c r="C50" s="22">
        <f>C48/B48-1</f>
        <v>-0.10984864862639021</v>
      </c>
      <c r="D50" s="22">
        <f>D48/C48-1</f>
        <v>-0.22114384909046947</v>
      </c>
      <c r="E50" s="22">
        <f>E48/D48-1</f>
        <v>-0.2894890409067219</v>
      </c>
      <c r="F50" s="22">
        <f>F48/E48-1</f>
        <v>0.21003134796238254</v>
      </c>
    </row>
    <row r="51" spans="1:6" ht="15.75" customHeight="1" x14ac:dyDescent="0.2">
      <c r="A51" s="3" t="s">
        <v>112</v>
      </c>
      <c r="B51" s="9">
        <f>B27</f>
        <v>-75.18100000000004</v>
      </c>
      <c r="C51" s="9">
        <f>C27</f>
        <v>-32.403999999999996</v>
      </c>
      <c r="D51" s="9">
        <f>D27</f>
        <v>-82.4</v>
      </c>
      <c r="E51" s="9">
        <f>E27</f>
        <v>-1783</v>
      </c>
      <c r="F51" s="9">
        <f>F27</f>
        <v>367</v>
      </c>
    </row>
    <row r="52" spans="1:6" ht="15.75" customHeight="1" x14ac:dyDescent="0.2">
      <c r="A52" s="20" t="s">
        <v>121</v>
      </c>
      <c r="B52" s="38">
        <f>'Income Statement'!B37+'Income Statement'!B109+'Income Statement'!B161+'Income Statement'!B204</f>
        <v>940.54499999999985</v>
      </c>
      <c r="C52" s="38">
        <f>'Income Statement'!C37+'Income Statement'!C109+'Income Statement'!C161+'Income Statement'!C204</f>
        <v>832.24800000000005</v>
      </c>
      <c r="D52" s="38">
        <f>'Income Statement'!D37+'Income Statement'!D109+'Income Statement'!D161+'Income Statement'!D204</f>
        <v>591.00000000000011</v>
      </c>
      <c r="E52" s="38">
        <f>'Income Statement'!E37+'Income Statement'!E109+'Income Statement'!E161+'Income Statement'!E204</f>
        <v>-1304.5</v>
      </c>
      <c r="F52" s="38">
        <f>'Income Statement'!F37+'Income Statement'!F109+'Income Statement'!F161+'Income Statement'!F204</f>
        <v>944.9</v>
      </c>
    </row>
    <row r="53" spans="1:6" ht="15.75" customHeight="1" x14ac:dyDescent="0.2">
      <c r="A53" s="3" t="s">
        <v>106</v>
      </c>
      <c r="B53" s="23">
        <f>B52/B9</f>
        <v>0.23731300352483142</v>
      </c>
      <c r="C53" s="23">
        <f>C52/C9</f>
        <v>0.20029086466899162</v>
      </c>
      <c r="D53" s="23">
        <f>D52/D9</f>
        <v>0.15248858270763996</v>
      </c>
      <c r="E53" s="23">
        <f>E52/E9</f>
        <v>-0.37314073226544625</v>
      </c>
      <c r="F53" s="23">
        <f>F52/F9</f>
        <v>0.26181767802715433</v>
      </c>
    </row>
    <row r="54" spans="1:6" ht="15.75" customHeight="1" x14ac:dyDescent="0.2">
      <c r="A54" s="5" t="s">
        <v>100</v>
      </c>
      <c r="B54" s="22"/>
      <c r="C54" s="22">
        <f>C52/B52-1</f>
        <v>-0.11514281613319921</v>
      </c>
      <c r="D54" s="22">
        <f>D52/C52-1</f>
        <v>-0.28987513337370585</v>
      </c>
      <c r="E54" s="22">
        <f>E52/D52-1</f>
        <v>-3.2072758037225038</v>
      </c>
      <c r="F54" s="22">
        <f>F52/E52-1</f>
        <v>-1.7243388271368341</v>
      </c>
    </row>
    <row r="55" spans="1:6" ht="3.75" customHeight="1" x14ac:dyDescent="0.2"/>
    <row r="56" spans="1:6" ht="15.75" customHeight="1" x14ac:dyDescent="0.2">
      <c r="A56" s="3" t="s">
        <v>192</v>
      </c>
      <c r="B56" s="9">
        <v>13.9</v>
      </c>
      <c r="C56" s="9">
        <v>7.3</v>
      </c>
      <c r="D56" s="9">
        <v>34.700000000000003</v>
      </c>
      <c r="E56" s="9">
        <v>44.3</v>
      </c>
      <c r="F56" s="9">
        <v>26</v>
      </c>
    </row>
    <row r="57" spans="1:6" ht="15.75" customHeight="1" x14ac:dyDescent="0.2">
      <c r="A57" s="5" t="s">
        <v>193</v>
      </c>
      <c r="B57" s="7">
        <v>-80.715999999999994</v>
      </c>
      <c r="C57" s="7">
        <v>-101.72</v>
      </c>
      <c r="D57" s="7">
        <v>-135.4</v>
      </c>
      <c r="E57" s="7">
        <v>-140</v>
      </c>
      <c r="F57" s="7">
        <v>-149.69999999999999</v>
      </c>
    </row>
    <row r="58" spans="1:6" ht="15.75" customHeight="1" x14ac:dyDescent="0.2">
      <c r="A58" s="3" t="s">
        <v>194</v>
      </c>
      <c r="B58" s="9">
        <v>-32.774000000000001</v>
      </c>
      <c r="C58" s="9">
        <f>-27.698-2.653</f>
        <v>-30.350999999999999</v>
      </c>
      <c r="D58" s="9">
        <v>-9.1</v>
      </c>
      <c r="E58" s="9">
        <v>-17.899999999999999</v>
      </c>
      <c r="F58" s="9">
        <v>-49.1</v>
      </c>
    </row>
    <row r="59" spans="1:6" ht="15.75" customHeight="1" x14ac:dyDescent="0.2">
      <c r="A59" s="5" t="s">
        <v>195</v>
      </c>
      <c r="B59" s="7">
        <f>B48+B56+B57+B58</f>
        <v>871.79200000000003</v>
      </c>
      <c r="C59" s="7">
        <f>C48+C56+C57+C58</f>
        <v>739.90599999999984</v>
      </c>
      <c r="D59" s="7">
        <f>D48+D56+D57+D58</f>
        <v>563.65900000000011</v>
      </c>
      <c r="E59" s="7">
        <f>E48+E56+E57+E58</f>
        <v>364.9</v>
      </c>
      <c r="F59" s="7">
        <f>F48+F56+F57+F58</f>
        <v>406.2</v>
      </c>
    </row>
    <row r="60" spans="1:6" ht="15.75" customHeight="1" x14ac:dyDescent="0.2">
      <c r="A60" s="3" t="s">
        <v>106</v>
      </c>
      <c r="B60" s="23">
        <f>IFERROR(B59/B9,"na")</f>
        <v>0.21996563478506598</v>
      </c>
      <c r="C60" s="23">
        <f>IFERROR(C59/C9,"na")</f>
        <v>0.17806761027214829</v>
      </c>
      <c r="D60" s="23">
        <f>IFERROR(D59/D9,"na")</f>
        <v>0.14543411512758989</v>
      </c>
      <c r="E60" s="23">
        <f>IFERROR(E59/E9,"na")</f>
        <v>0.10437643020594965</v>
      </c>
      <c r="F60" s="23">
        <f>IFERROR(F59/F9,"na")</f>
        <v>0.11255195344970906</v>
      </c>
    </row>
    <row r="61" spans="1:6" ht="15.75" customHeight="1" x14ac:dyDescent="0.2">
      <c r="A61" s="5" t="s">
        <v>100</v>
      </c>
      <c r="B61" s="22"/>
      <c r="C61" s="22">
        <f>C59/B59-1</f>
        <v>-0.15128149833905358</v>
      </c>
      <c r="D61" s="22">
        <f>D59/C59-1</f>
        <v>-0.23820187969823159</v>
      </c>
      <c r="E61" s="22">
        <f>E59/D59-1</f>
        <v>-0.35262277369828232</v>
      </c>
      <c r="F61" s="22">
        <f>F59/E59-1</f>
        <v>0.11318169361468899</v>
      </c>
    </row>
    <row r="62" spans="1:6" ht="15.75" customHeight="1" x14ac:dyDescent="0.2">
      <c r="A62" s="3" t="s">
        <v>112</v>
      </c>
      <c r="B62" s="9">
        <f>B51</f>
        <v>-75.18100000000004</v>
      </c>
      <c r="C62" s="9">
        <f>C51</f>
        <v>-32.403999999999996</v>
      </c>
      <c r="D62" s="9">
        <f>D51</f>
        <v>-82.4</v>
      </c>
      <c r="E62" s="9">
        <f>E51</f>
        <v>-1783</v>
      </c>
      <c r="F62" s="9">
        <f>F51</f>
        <v>367</v>
      </c>
    </row>
    <row r="63" spans="1:6" ht="15.75" customHeight="1" x14ac:dyDescent="0.2">
      <c r="A63" s="20" t="s">
        <v>196</v>
      </c>
      <c r="B63" s="38">
        <f>B59+B62+9.3</f>
        <v>805.91099999999994</v>
      </c>
      <c r="C63" s="38">
        <f>C59+C62+2.7</f>
        <v>710.20199999999988</v>
      </c>
      <c r="D63" s="38">
        <f>D59+D62</f>
        <v>481.25900000000013</v>
      </c>
      <c r="E63" s="38">
        <v>-1424.1</v>
      </c>
      <c r="F63" s="38">
        <v>771.1</v>
      </c>
    </row>
    <row r="64" spans="1:6" ht="3.75" customHeight="1" x14ac:dyDescent="0.2"/>
    <row r="65" spans="1:6" ht="15.75" customHeight="1" x14ac:dyDescent="0.2">
      <c r="A65" s="3" t="s">
        <v>197</v>
      </c>
      <c r="B65" s="9">
        <v>-179.04400000000001</v>
      </c>
      <c r="C65" s="9">
        <v>-137.6</v>
      </c>
      <c r="D65" s="9">
        <v>-104.9</v>
      </c>
      <c r="E65" s="9">
        <v>-107</v>
      </c>
      <c r="F65" s="9">
        <v>-382.2</v>
      </c>
    </row>
    <row r="66" spans="1:6" ht="15.75" customHeight="1" x14ac:dyDescent="0.2">
      <c r="A66" s="5" t="s">
        <v>198</v>
      </c>
      <c r="B66" s="22">
        <f>IFERROR(-B65/B63,"na")</f>
        <v>0.22216348951683254</v>
      </c>
      <c r="C66" s="22">
        <f>IFERROR(-C65/C63,"na")</f>
        <v>0.19374769431795463</v>
      </c>
      <c r="D66" s="22">
        <f>IFERROR(-D65/D63,"na")</f>
        <v>0.21796994965288957</v>
      </c>
      <c r="E66" s="22">
        <f>IFERROR(-E65/E63,"na")</f>
        <v>-7.5135173091777266E-2</v>
      </c>
      <c r="F66" s="22">
        <f>IFERROR(-F65/F63,"na")</f>
        <v>0.49565555699649849</v>
      </c>
    </row>
    <row r="67" spans="1:6" ht="15.75" customHeight="1" x14ac:dyDescent="0.2">
      <c r="A67" s="3" t="s">
        <v>199</v>
      </c>
      <c r="B67" s="9">
        <f>B63+B65</f>
        <v>626.86699999999996</v>
      </c>
      <c r="C67" s="9">
        <f>C63+C65</f>
        <v>572.60199999999986</v>
      </c>
      <c r="D67" s="9">
        <f>D63+D65</f>
        <v>376.35900000000015</v>
      </c>
      <c r="E67" s="9">
        <f>E63+E65</f>
        <v>-1531.1</v>
      </c>
      <c r="F67" s="9">
        <f>F63+F65</f>
        <v>388.90000000000003</v>
      </c>
    </row>
    <row r="68" spans="1:6" ht="15.75" customHeight="1" x14ac:dyDescent="0.2">
      <c r="A68" s="3" t="s">
        <v>200</v>
      </c>
      <c r="B68" s="44">
        <f>B67/B9</f>
        <v>0.15816754177694903</v>
      </c>
      <c r="C68" s="44">
        <f>C67/C9</f>
        <v>0.13780381531850353</v>
      </c>
      <c r="D68" s="44">
        <f>D67/D9</f>
        <v>9.7107361250870855E-2</v>
      </c>
      <c r="E68" s="44">
        <f>E67/E9</f>
        <v>-0.43795766590389013</v>
      </c>
      <c r="F68" s="44">
        <f>F67/F9</f>
        <v>0.10775838182321974</v>
      </c>
    </row>
    <row r="69" spans="1:6" ht="15.75" customHeight="1" x14ac:dyDescent="0.2">
      <c r="A69" s="5" t="s">
        <v>201</v>
      </c>
      <c r="B69" s="7">
        <v>-7.99</v>
      </c>
      <c r="C69" s="7">
        <v>-2.5230000000000001</v>
      </c>
      <c r="D69" s="7">
        <v>8</v>
      </c>
      <c r="E69" s="7">
        <v>8</v>
      </c>
      <c r="F69" s="7">
        <v>8</v>
      </c>
    </row>
    <row r="70" spans="1:6" ht="15.75" customHeight="1" x14ac:dyDescent="0.2">
      <c r="A70" s="3" t="s">
        <v>202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</row>
    <row r="71" spans="1:6" ht="15.75" customHeight="1" x14ac:dyDescent="0.2">
      <c r="A71" s="5" t="s">
        <v>203</v>
      </c>
      <c r="B71" s="7">
        <v>618.96</v>
      </c>
      <c r="C71" s="7">
        <f>C67+C69</f>
        <v>570.07899999999984</v>
      </c>
      <c r="D71" s="7">
        <f>D67+D69</f>
        <v>384.35900000000015</v>
      </c>
      <c r="E71" s="7">
        <f>E67+E69</f>
        <v>-1523.1</v>
      </c>
      <c r="F71" s="7">
        <f>F67+F69</f>
        <v>396.90000000000003</v>
      </c>
    </row>
    <row r="72" spans="1:6" ht="3.75" customHeight="1" x14ac:dyDescent="0.2"/>
    <row r="73" spans="1:6" ht="15.75" customHeight="1" x14ac:dyDescent="0.2">
      <c r="A73" s="3" t="s">
        <v>204</v>
      </c>
      <c r="B73" s="9">
        <v>-196.309</v>
      </c>
      <c r="C73" s="9">
        <v>-144.93299999999999</v>
      </c>
      <c r="D73" s="9">
        <v>-121.25700000000001</v>
      </c>
      <c r="E73" s="9">
        <v>-106.95</v>
      </c>
      <c r="F73" s="9">
        <f>-F59*F74</f>
        <v>-106.01820000000001</v>
      </c>
    </row>
    <row r="74" spans="1:6" ht="15.75" customHeight="1" x14ac:dyDescent="0.2">
      <c r="A74" s="3" t="s">
        <v>205</v>
      </c>
      <c r="B74" s="23">
        <v>0.24399999999999999</v>
      </c>
      <c r="C74" s="23">
        <v>0.20399999999999999</v>
      </c>
      <c r="D74" s="23">
        <v>0.252</v>
      </c>
      <c r="E74" s="23">
        <v>0.29199999999999998</v>
      </c>
      <c r="F74" s="23">
        <v>0.26100000000000001</v>
      </c>
    </row>
    <row r="75" spans="1:6" ht="15.75" customHeight="1" x14ac:dyDescent="0.2">
      <c r="A75" s="5" t="s">
        <v>201</v>
      </c>
      <c r="B75" s="7">
        <v>-8</v>
      </c>
      <c r="C75" s="7">
        <v>-2.5</v>
      </c>
      <c r="D75" s="7">
        <v>4.2</v>
      </c>
      <c r="E75" s="7">
        <v>8</v>
      </c>
      <c r="F75" s="7">
        <v>8</v>
      </c>
    </row>
    <row r="76" spans="1:6" ht="15.75" customHeight="1" x14ac:dyDescent="0.2">
      <c r="A76" s="3" t="s">
        <v>94</v>
      </c>
      <c r="B76" s="9"/>
      <c r="C76" s="9"/>
      <c r="D76" s="9"/>
      <c r="E76" s="9"/>
      <c r="F76" s="9"/>
    </row>
    <row r="77" spans="1:6" ht="15.75" customHeight="1" x14ac:dyDescent="0.2">
      <c r="A77" s="5" t="s">
        <v>206</v>
      </c>
      <c r="B77" s="7">
        <f>B59+B73+B75</f>
        <v>667.48300000000006</v>
      </c>
      <c r="C77" s="7">
        <f>C59+C73+C75</f>
        <v>592.47299999999984</v>
      </c>
      <c r="D77" s="7">
        <f>D59+D73+D75</f>
        <v>446.60200000000009</v>
      </c>
      <c r="E77" s="7">
        <f>E59+E73-E75</f>
        <v>249.95</v>
      </c>
      <c r="F77" s="7">
        <f>F59+F73-F75</f>
        <v>292.18179999999995</v>
      </c>
    </row>
    <row r="78" spans="1:6" ht="15.75" customHeight="1" x14ac:dyDescent="0.2">
      <c r="A78" s="3" t="s">
        <v>106</v>
      </c>
      <c r="B78" s="23">
        <f>B77/B9</f>
        <v>0.16841554155491242</v>
      </c>
      <c r="C78" s="23">
        <f>C77/C9</f>
        <v>0.14258601938728774</v>
      </c>
      <c r="D78" s="23">
        <f>D77/D9</f>
        <v>0.11523131305312592</v>
      </c>
      <c r="E78" s="23">
        <f>E77/E9</f>
        <v>7.1495995423340952E-2</v>
      </c>
      <c r="F78" s="23">
        <f>F77/F9</f>
        <v>8.0959213078415054E-2</v>
      </c>
    </row>
    <row r="79" spans="1:6" ht="15.75" customHeight="1" x14ac:dyDescent="0.2">
      <c r="A79" s="5" t="s">
        <v>100</v>
      </c>
      <c r="B79" s="22"/>
      <c r="C79" s="22">
        <f>IFERROR(C77/B77-1,"na")</f>
        <v>-0.11237739388119283</v>
      </c>
      <c r="D79" s="22">
        <f>IFERROR(D77/C77-1,"na")</f>
        <v>-0.24620700015021746</v>
      </c>
      <c r="E79" s="22">
        <f>IFERROR(E77/D77-1,"na")</f>
        <v>-0.44032942082659743</v>
      </c>
      <c r="F79" s="22">
        <f>IFERROR(F77/E77-1,"na")</f>
        <v>0.16896099219843963</v>
      </c>
    </row>
    <row r="80" spans="1:6" ht="3.75" customHeight="1" x14ac:dyDescent="0.2"/>
    <row r="81" spans="1:6" ht="15.75" customHeight="1" x14ac:dyDescent="0.2">
      <c r="A81" s="3" t="s">
        <v>207</v>
      </c>
      <c r="B81" s="9">
        <v>240.9</v>
      </c>
      <c r="C81" s="9">
        <v>240.3</v>
      </c>
      <c r="D81" s="9">
        <v>240.4</v>
      </c>
      <c r="E81" s="9">
        <v>240.4</v>
      </c>
      <c r="F81" s="9">
        <v>240.54</v>
      </c>
    </row>
    <row r="82" spans="1:6" ht="15.75" customHeight="1" x14ac:dyDescent="0.2">
      <c r="A82" s="5" t="s">
        <v>208</v>
      </c>
      <c r="B82" s="7">
        <v>242</v>
      </c>
      <c r="C82" s="7">
        <v>240.7</v>
      </c>
      <c r="D82" s="7">
        <v>240.7</v>
      </c>
      <c r="E82" s="7">
        <v>240.6</v>
      </c>
      <c r="F82" s="7">
        <v>241.3</v>
      </c>
    </row>
    <row r="83" spans="1:6" ht="3.75" customHeight="1" x14ac:dyDescent="0.2"/>
    <row r="84" spans="1:6" ht="15.75" customHeight="1" x14ac:dyDescent="0.2">
      <c r="A84" s="3" t="s">
        <v>209</v>
      </c>
      <c r="B84" s="9">
        <v>2.57</v>
      </c>
      <c r="C84" s="9">
        <v>2.37</v>
      </c>
      <c r="D84" s="9">
        <v>1.6</v>
      </c>
      <c r="E84" s="9">
        <v>-6.15</v>
      </c>
      <c r="F84" s="9">
        <v>1.6</v>
      </c>
    </row>
    <row r="85" spans="1:6" ht="15.75" customHeight="1" x14ac:dyDescent="0.2">
      <c r="A85" s="5" t="s">
        <v>210</v>
      </c>
      <c r="B85" s="7">
        <v>2.56</v>
      </c>
      <c r="C85" s="7">
        <v>2.37</v>
      </c>
      <c r="D85" s="7">
        <v>1.6</v>
      </c>
      <c r="E85" s="7">
        <v>-6.15</v>
      </c>
      <c r="F85" s="7">
        <v>1.59</v>
      </c>
    </row>
    <row r="86" spans="1:6" ht="15.75" customHeight="1" x14ac:dyDescent="0.2">
      <c r="A86" s="3" t="s">
        <v>211</v>
      </c>
      <c r="B86" s="9">
        <f>B77/B82</f>
        <v>2.7581942148760334</v>
      </c>
      <c r="C86" s="9">
        <f>C77/C82</f>
        <v>2.4614582467802237</v>
      </c>
      <c r="D86" s="9">
        <f>D77/D82</f>
        <v>1.8554299958454512</v>
      </c>
      <c r="E86" s="9">
        <f>E77/E82</f>
        <v>1.0388611803823773</v>
      </c>
      <c r="F86" s="9">
        <f>F77/F82</f>
        <v>1.2108653128885203</v>
      </c>
    </row>
    <row r="87" spans="1:6" ht="15.75" customHeight="1" x14ac:dyDescent="0.2">
      <c r="A87" s="5" t="s">
        <v>100</v>
      </c>
      <c r="B87" s="7"/>
      <c r="C87" s="22">
        <f>IFERROR(C86/B86-1,"na")</f>
        <v>-0.10758342052035175</v>
      </c>
      <c r="D87" s="22">
        <f>IFERROR(D86/C86-1,"na")</f>
        <v>-0.24620700015021746</v>
      </c>
      <c r="E87" s="22">
        <f>IFERROR(E86/D86-1,"na")</f>
        <v>-0.44009680628828762</v>
      </c>
      <c r="F87" s="22">
        <f>IFERROR(F86/E86-1,"na")</f>
        <v>0.16556989110213238</v>
      </c>
    </row>
    <row r="88" spans="1:6" ht="3.75" customHeight="1" x14ac:dyDescent="0.2"/>
    <row r="89" spans="1:6" ht="3.75" customHeight="1" x14ac:dyDescent="0.2"/>
  </sheetData>
  <mergeCells count="1">
    <mergeCell ref="A2:F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"/>
  <sheetViews>
    <sheetView zoomScale="139" zoomScaleNormal="139" workbookViewId="0">
      <pane xSplit="1" ySplit="4" topLeftCell="B36" activePane="bottomRight" state="frozen"/>
      <selection pane="topRight" activeCell="B1" sqref="B1"/>
      <selection pane="bottomLeft" activeCell="A42" sqref="A42"/>
      <selection pane="bottomRight" activeCell="B59" sqref="B59"/>
    </sheetView>
  </sheetViews>
  <sheetFormatPr baseColWidth="10" defaultColWidth="8.83203125" defaultRowHeight="15" customHeight="1" x14ac:dyDescent="0.2"/>
  <cols>
    <col min="1" max="1" width="36.6640625" customWidth="1"/>
    <col min="2" max="6" width="13.6640625" customWidth="1"/>
  </cols>
  <sheetData>
    <row r="1" spans="1:6" ht="3.75" customHeight="1" x14ac:dyDescent="0.2"/>
    <row r="2" spans="1:6" ht="25.5" customHeight="1" x14ac:dyDescent="0.2">
      <c r="A2" s="287" t="s">
        <v>212</v>
      </c>
      <c r="B2" s="288"/>
      <c r="C2" s="288"/>
      <c r="D2" s="288"/>
      <c r="E2" s="288"/>
      <c r="F2" s="289"/>
    </row>
    <row r="3" spans="1:6" ht="3.75" customHeight="1" x14ac:dyDescent="0.2"/>
    <row r="4" spans="1:6" ht="18" customHeight="1" x14ac:dyDescent="0.2">
      <c r="A4" s="1"/>
      <c r="B4" s="2">
        <v>2021</v>
      </c>
      <c r="C4" s="2">
        <v>2022</v>
      </c>
      <c r="D4" s="2">
        <v>2023</v>
      </c>
      <c r="E4" s="2">
        <v>2024</v>
      </c>
      <c r="F4" s="2">
        <v>2025</v>
      </c>
    </row>
    <row r="5" spans="1:6" ht="15.75" customHeight="1" x14ac:dyDescent="0.2">
      <c r="A5" s="3" t="s">
        <v>199</v>
      </c>
      <c r="B5" s="9">
        <f>'P&amp;L'!B67</f>
        <v>626.86699999999996</v>
      </c>
      <c r="C5" s="9">
        <f>'P&amp;L'!C67</f>
        <v>572.60199999999986</v>
      </c>
      <c r="D5" s="9">
        <f>'P&amp;L'!D67</f>
        <v>376.35900000000015</v>
      </c>
      <c r="E5" s="9">
        <f>'P&amp;L'!E67</f>
        <v>-1531.1</v>
      </c>
      <c r="F5" s="9">
        <f>'P&amp;L'!F67</f>
        <v>388.90000000000003</v>
      </c>
    </row>
    <row r="6" spans="1:6" ht="15.75" customHeight="1" x14ac:dyDescent="0.2">
      <c r="A6" s="5" t="s">
        <v>213</v>
      </c>
      <c r="B6" s="7">
        <v>-17.347000000000001</v>
      </c>
      <c r="C6" s="7">
        <v>-13.473000000000001</v>
      </c>
      <c r="D6" s="7">
        <v>-0.4</v>
      </c>
      <c r="E6" s="7">
        <v>48.58</v>
      </c>
      <c r="F6" s="7">
        <v>73.599999999999994</v>
      </c>
    </row>
    <row r="7" spans="1:6" ht="15.75" customHeight="1" x14ac:dyDescent="0.2">
      <c r="A7" s="3" t="s">
        <v>214</v>
      </c>
      <c r="B7" s="9">
        <v>279.52600000000001</v>
      </c>
      <c r="C7" s="9">
        <v>285.90699999999998</v>
      </c>
      <c r="D7" s="9">
        <v>298.5</v>
      </c>
      <c r="E7" s="9">
        <v>285.18</v>
      </c>
      <c r="F7" s="9">
        <v>267.7</v>
      </c>
    </row>
    <row r="8" spans="1:6" ht="15.75" customHeight="1" x14ac:dyDescent="0.2">
      <c r="A8" s="5" t="s">
        <v>215</v>
      </c>
      <c r="B8" s="7">
        <v>48.503999999999998</v>
      </c>
      <c r="C8" s="7">
        <f>24.931+0.811</f>
        <v>25.742000000000001</v>
      </c>
      <c r="D8" s="7">
        <v>46.2</v>
      </c>
      <c r="E8" s="7">
        <v>959.1</v>
      </c>
      <c r="F8" s="7">
        <v>0</v>
      </c>
    </row>
    <row r="9" spans="1:6" ht="15.75" customHeight="1" x14ac:dyDescent="0.2">
      <c r="A9" s="3" t="s">
        <v>216</v>
      </c>
      <c r="B9" s="9">
        <v>19.763999999999999</v>
      </c>
      <c r="C9" s="9">
        <v>64.067999999999998</v>
      </c>
      <c r="D9" s="9">
        <v>20.805</v>
      </c>
      <c r="E9" s="9">
        <v>-54.031999999999996</v>
      </c>
      <c r="F9" s="9">
        <v>0</v>
      </c>
    </row>
    <row r="10" spans="1:6" ht="15.75" customHeight="1" x14ac:dyDescent="0.2">
      <c r="A10" s="5" t="s">
        <v>217</v>
      </c>
      <c r="B10" s="7">
        <v>4.8780000000000001</v>
      </c>
      <c r="C10" s="7">
        <v>-14.811</v>
      </c>
      <c r="D10" s="7">
        <v>-31.459</v>
      </c>
      <c r="E10" s="7">
        <v>45.35</v>
      </c>
      <c r="F10" s="7">
        <v>0</v>
      </c>
    </row>
    <row r="11" spans="1:6" ht="15.75" customHeight="1" x14ac:dyDescent="0.2">
      <c r="A11" s="3" t="s">
        <v>218</v>
      </c>
      <c r="B11" s="9">
        <v>10.747</v>
      </c>
      <c r="C11" s="9">
        <v>17.544</v>
      </c>
      <c r="D11" s="9">
        <v>6.7439999999999998</v>
      </c>
      <c r="E11" s="9">
        <v>472.54</v>
      </c>
      <c r="F11" s="9">
        <v>0</v>
      </c>
    </row>
    <row r="12" spans="1:6" ht="15.75" customHeight="1" x14ac:dyDescent="0.2">
      <c r="A12" s="5" t="s">
        <v>219</v>
      </c>
      <c r="B12" s="7">
        <v>-0.40100000000000002</v>
      </c>
      <c r="C12" s="7">
        <v>-2.4009999999999998</v>
      </c>
      <c r="D12" s="7">
        <v>-14.909000000000001</v>
      </c>
      <c r="E12" s="7">
        <v>-14.27</v>
      </c>
      <c r="F12" s="7">
        <v>0</v>
      </c>
    </row>
    <row r="13" spans="1:6" ht="15.75" customHeight="1" x14ac:dyDescent="0.2">
      <c r="A13" s="3" t="s">
        <v>220</v>
      </c>
      <c r="B13" s="9">
        <v>14.255000000000001</v>
      </c>
      <c r="C13" s="9">
        <v>11.824</v>
      </c>
      <c r="D13" s="9">
        <v>14.117000000000001</v>
      </c>
      <c r="E13" s="9">
        <v>6.9</v>
      </c>
      <c r="F13" s="9">
        <v>5</v>
      </c>
    </row>
    <row r="14" spans="1:6" ht="15.75" customHeight="1" x14ac:dyDescent="0.2">
      <c r="A14" s="5" t="s">
        <v>221</v>
      </c>
      <c r="B14" s="7">
        <v>22.7</v>
      </c>
      <c r="C14" s="7">
        <v>23.9</v>
      </c>
      <c r="D14" s="7">
        <v>-35.131</v>
      </c>
      <c r="E14" s="7">
        <v>175.3</v>
      </c>
      <c r="F14" s="7">
        <v>30</v>
      </c>
    </row>
    <row r="15" spans="1:6" ht="15.75" customHeight="1" x14ac:dyDescent="0.2">
      <c r="A15" s="3" t="s">
        <v>222</v>
      </c>
      <c r="B15" s="9">
        <f>B7+B8+B9+B10+B11+B12+B13+B14</f>
        <v>399.97300000000001</v>
      </c>
      <c r="C15" s="9">
        <f>C7+C8+C9+C10+C11+C12+C13+C14</f>
        <v>411.77299999999997</v>
      </c>
      <c r="D15" s="9">
        <f>D7+D8+D9+D10+D11+D12+D13+D14</f>
        <v>304.86699999999996</v>
      </c>
      <c r="E15" s="9">
        <f>E7+E8+E9+E10+E11+E12+E13+E14</f>
        <v>1876.068</v>
      </c>
      <c r="F15" s="9">
        <v>196.7</v>
      </c>
    </row>
    <row r="16" spans="1:6" ht="15.75" customHeight="1" x14ac:dyDescent="0.2">
      <c r="A16" s="5" t="s">
        <v>223</v>
      </c>
      <c r="B16" s="7">
        <v>179.04300000000001</v>
      </c>
      <c r="C16" s="7">
        <v>137.6</v>
      </c>
      <c r="D16" s="7">
        <v>104.941</v>
      </c>
      <c r="E16" s="7">
        <v>106.95</v>
      </c>
      <c r="F16" s="7">
        <v>109</v>
      </c>
    </row>
    <row r="17" spans="1:6" ht="15.75" customHeight="1" x14ac:dyDescent="0.2">
      <c r="A17" s="3" t="s">
        <v>224</v>
      </c>
      <c r="B17" s="9">
        <v>51.497999999999998</v>
      </c>
      <c r="C17" s="9">
        <v>76.953999999999994</v>
      </c>
      <c r="D17" s="9">
        <v>78.346999999999994</v>
      </c>
      <c r="E17" s="9">
        <v>74.67</v>
      </c>
      <c r="F17" s="9">
        <v>160</v>
      </c>
    </row>
    <row r="18" spans="1:6" ht="15.75" customHeight="1" x14ac:dyDescent="0.2">
      <c r="A18" s="5" t="s">
        <v>225</v>
      </c>
      <c r="B18" s="7">
        <v>-1.7589999999999999</v>
      </c>
      <c r="C18" s="7">
        <v>-7.7320000000000002</v>
      </c>
      <c r="D18" s="7">
        <v>5.5449999999999999</v>
      </c>
      <c r="E18" s="7">
        <v>9.7000000000000003E-2</v>
      </c>
      <c r="F18" s="7">
        <v>0</v>
      </c>
    </row>
    <row r="19" spans="1:6" ht="15.75" customHeight="1" x14ac:dyDescent="0.2">
      <c r="A19" s="3" t="s">
        <v>226</v>
      </c>
      <c r="B19" s="9">
        <v>-0.21</v>
      </c>
      <c r="C19" s="9">
        <v>-0.251</v>
      </c>
      <c r="D19" s="9">
        <v>-0.23699999999999999</v>
      </c>
      <c r="E19" s="9">
        <v>-0.23699999999999999</v>
      </c>
      <c r="F19" s="9">
        <v>0</v>
      </c>
    </row>
    <row r="20" spans="1:6" ht="15.75" customHeight="1" x14ac:dyDescent="0.2">
      <c r="A20" s="5" t="s">
        <v>227</v>
      </c>
      <c r="B20" s="7">
        <f>B16+B17+B18+B19</f>
        <v>228.572</v>
      </c>
      <c r="C20" s="7">
        <f>C16+C17+C18+C19</f>
        <v>206.57099999999997</v>
      </c>
      <c r="D20" s="7">
        <f>D16+D17+D18+D19</f>
        <v>188.596</v>
      </c>
      <c r="E20" s="7">
        <f>E16+E17+E18+E19</f>
        <v>181.48000000000002</v>
      </c>
      <c r="F20" s="7">
        <v>487.3</v>
      </c>
    </row>
    <row r="21" spans="1:6" ht="15.75" customHeight="1" x14ac:dyDescent="0.2">
      <c r="A21" s="3" t="s">
        <v>228</v>
      </c>
      <c r="B21" s="9">
        <v>-150.97900000000001</v>
      </c>
      <c r="C21" s="9">
        <v>-524.60299999999995</v>
      </c>
      <c r="D21" s="9">
        <v>543.56799999999998</v>
      </c>
      <c r="E21" s="9">
        <v>598.42999999999995</v>
      </c>
      <c r="F21" s="9">
        <v>395</v>
      </c>
    </row>
    <row r="22" spans="1:6" ht="15.75" customHeight="1" x14ac:dyDescent="0.2">
      <c r="A22" s="5" t="s">
        <v>229</v>
      </c>
      <c r="B22" s="7">
        <v>-171.084</v>
      </c>
      <c r="C22" s="7">
        <v>-28.658000000000001</v>
      </c>
      <c r="D22" s="7">
        <v>457.55500000000001</v>
      </c>
      <c r="E22" s="7">
        <v>132.9</v>
      </c>
      <c r="F22" s="7">
        <v>-150</v>
      </c>
    </row>
    <row r="23" spans="1:6" ht="15.75" customHeight="1" x14ac:dyDescent="0.2">
      <c r="A23" s="3" t="s">
        <v>230</v>
      </c>
      <c r="B23" s="9">
        <v>449.64699999999999</v>
      </c>
      <c r="C23" s="9">
        <v>367.23099999999999</v>
      </c>
      <c r="D23" s="9">
        <v>-510.721</v>
      </c>
      <c r="E23" s="9">
        <v>377.9</v>
      </c>
      <c r="F23" s="9">
        <v>190</v>
      </c>
    </row>
    <row r="24" spans="1:6" ht="15.75" customHeight="1" x14ac:dyDescent="0.2">
      <c r="A24" s="5" t="s">
        <v>231</v>
      </c>
      <c r="B24" s="7">
        <f>B21+B22+B23</f>
        <v>127.584</v>
      </c>
      <c r="C24" s="7">
        <f>C21+C22+C23</f>
        <v>-186.02999999999997</v>
      </c>
      <c r="D24" s="7">
        <f>D21+D22+D23</f>
        <v>490.40200000000004</v>
      </c>
      <c r="E24" s="7">
        <f>E21+E22+E23</f>
        <v>1109.23</v>
      </c>
      <c r="F24" s="7">
        <f>F21+F22+F23</f>
        <v>435</v>
      </c>
    </row>
    <row r="25" spans="1:6" ht="15.75" customHeight="1" x14ac:dyDescent="0.2">
      <c r="A25" s="3" t="s">
        <v>232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</row>
    <row r="26" spans="1:6" ht="15.75" customHeight="1" x14ac:dyDescent="0.2">
      <c r="A26" s="5" t="s">
        <v>233</v>
      </c>
      <c r="B26" s="7">
        <v>35.113</v>
      </c>
      <c r="C26" s="7">
        <v>-138.53399999999999</v>
      </c>
      <c r="D26" s="7">
        <v>-97.527000000000001</v>
      </c>
      <c r="E26" s="7">
        <v>-676.65</v>
      </c>
      <c r="F26" s="7" t="s">
        <v>101</v>
      </c>
    </row>
    <row r="27" spans="1:6" ht="15.75" customHeight="1" x14ac:dyDescent="0.2">
      <c r="A27" s="3" t="s">
        <v>234</v>
      </c>
      <c r="B27" s="9">
        <v>-52.81</v>
      </c>
      <c r="C27" s="9">
        <v>-29.507999999999999</v>
      </c>
      <c r="D27" s="9">
        <v>18.611000000000001</v>
      </c>
      <c r="E27" s="9">
        <v>-10.62</v>
      </c>
      <c r="F27" s="9" t="s">
        <v>101</v>
      </c>
    </row>
    <row r="28" spans="1:6" ht="15.75" customHeight="1" x14ac:dyDescent="0.2">
      <c r="A28" s="5" t="s">
        <v>235</v>
      </c>
      <c r="B28" s="7">
        <v>0</v>
      </c>
      <c r="C28" s="7">
        <v>0</v>
      </c>
      <c r="D28" s="7">
        <v>0</v>
      </c>
      <c r="E28" s="7">
        <v>1.78</v>
      </c>
      <c r="F28" s="7" t="s">
        <v>101</v>
      </c>
    </row>
    <row r="29" spans="1:6" ht="15.75" customHeight="1" x14ac:dyDescent="0.2">
      <c r="A29" s="3" t="s">
        <v>236</v>
      </c>
      <c r="B29" s="9">
        <v>57.268999999999998</v>
      </c>
      <c r="C29" s="9">
        <v>11.906000000000001</v>
      </c>
      <c r="D29" s="9">
        <v>-65.004000000000005</v>
      </c>
      <c r="E29" s="9">
        <v>-30.59</v>
      </c>
      <c r="F29" s="9" t="s">
        <v>101</v>
      </c>
    </row>
    <row r="30" spans="1:6" ht="15.75" customHeight="1" x14ac:dyDescent="0.2">
      <c r="A30" s="5" t="s">
        <v>237</v>
      </c>
      <c r="B30" s="7">
        <f>B24+B25+B26+B27+B28+B29</f>
        <v>167.15600000000001</v>
      </c>
      <c r="C30" s="7">
        <f>C24+C25+C26+C27+C28+C29</f>
        <v>-342.16599999999994</v>
      </c>
      <c r="D30" s="7">
        <f>D24+D25+D26+D27+D28+D29</f>
        <v>346.48200000000003</v>
      </c>
      <c r="E30" s="7">
        <f>E24+E25+E26+E27+E28+E29</f>
        <v>393.15000000000003</v>
      </c>
      <c r="F30" s="7">
        <v>-298.3</v>
      </c>
    </row>
    <row r="31" spans="1:6" ht="15.75" customHeight="1" x14ac:dyDescent="0.2">
      <c r="A31" s="3" t="s">
        <v>238</v>
      </c>
      <c r="B31" s="9">
        <v>5.0179999999999998</v>
      </c>
      <c r="C31" s="9">
        <v>12.153</v>
      </c>
      <c r="D31" s="9">
        <v>6.1</v>
      </c>
      <c r="E31" s="9">
        <v>4</v>
      </c>
      <c r="F31" s="9">
        <v>2.1</v>
      </c>
    </row>
    <row r="32" spans="1:6" ht="15.75" customHeight="1" x14ac:dyDescent="0.2">
      <c r="A32" s="5" t="s">
        <v>239</v>
      </c>
      <c r="B32" s="7">
        <v>-174.99</v>
      </c>
      <c r="C32" s="7">
        <v>-216.06299999999999</v>
      </c>
      <c r="D32" s="7">
        <v>-209.3</v>
      </c>
      <c r="E32" s="7">
        <v>-113.9</v>
      </c>
      <c r="F32" s="7">
        <v>-158.80000000000001</v>
      </c>
    </row>
    <row r="33" spans="1:6" ht="15.75" customHeight="1" x14ac:dyDescent="0.2">
      <c r="A33" s="3" t="s">
        <v>240</v>
      </c>
      <c r="B33" s="9">
        <v>23.286999999999999</v>
      </c>
      <c r="C33" s="9">
        <v>2.9420000000000002</v>
      </c>
      <c r="D33" s="9">
        <v>29.2</v>
      </c>
      <c r="E33" s="9">
        <v>12</v>
      </c>
      <c r="F33" s="9">
        <v>18.7</v>
      </c>
    </row>
    <row r="34" spans="1:6" ht="15.75" customHeight="1" x14ac:dyDescent="0.2">
      <c r="A34" s="47" t="s">
        <v>241</v>
      </c>
      <c r="B34" s="48">
        <f>B5+B6+B15+B20+B30+B31+B32+B33</f>
        <v>1258.5360000000001</v>
      </c>
      <c r="C34" s="48">
        <f>C5+C6+C15+C20+C30+C31+C32+C33</f>
        <v>634.33899999999983</v>
      </c>
      <c r="D34" s="48">
        <f>D5+D6+D15+D20+D30+D31+D32+D33</f>
        <v>1041.9040000000002</v>
      </c>
      <c r="E34" s="48">
        <f>E5+E6+E15+E20+E30+E31+E32+E33</f>
        <v>870.27800000000013</v>
      </c>
      <c r="F34" s="48">
        <f>F5+F6+F15+F20+F30+F31+F32+F33</f>
        <v>710.2</v>
      </c>
    </row>
    <row r="35" spans="1:6" ht="15.75" customHeight="1" x14ac:dyDescent="0.2">
      <c r="A35" s="3" t="s">
        <v>242</v>
      </c>
      <c r="B35" s="9">
        <v>-379.572</v>
      </c>
      <c r="C35" s="9">
        <v>-458.85899999999998</v>
      </c>
      <c r="D35" s="9">
        <v>-807.47400000000005</v>
      </c>
      <c r="E35" s="9">
        <v>-526.27</v>
      </c>
      <c r="F35" s="9">
        <v>-285.8</v>
      </c>
    </row>
    <row r="36" spans="1:6" ht="15.75" customHeight="1" x14ac:dyDescent="0.2">
      <c r="A36" s="5" t="s">
        <v>243</v>
      </c>
      <c r="B36" s="7">
        <v>1.994</v>
      </c>
      <c r="C36" s="7">
        <v>6.1260000000000003</v>
      </c>
      <c r="D36" s="7">
        <v>9.6999999999999993</v>
      </c>
      <c r="E36" s="7">
        <v>0.89300000000000002</v>
      </c>
      <c r="F36" s="7">
        <v>17.3</v>
      </c>
    </row>
    <row r="37" spans="1:6" ht="15.75" customHeight="1" x14ac:dyDescent="0.2">
      <c r="A37" s="3" t="s">
        <v>244</v>
      </c>
      <c r="B37" s="9">
        <v>-36.853999999999999</v>
      </c>
      <c r="C37" s="9">
        <v>-32.430999999999997</v>
      </c>
      <c r="D37" s="9">
        <v>-77.3</v>
      </c>
      <c r="E37" s="9">
        <v>-56.131</v>
      </c>
      <c r="F37" s="9">
        <v>-39</v>
      </c>
    </row>
    <row r="38" spans="1:6" ht="15.75" customHeight="1" x14ac:dyDescent="0.2">
      <c r="A38" s="5" t="s">
        <v>245</v>
      </c>
      <c r="B38" s="7">
        <v>0.623</v>
      </c>
      <c r="C38" s="7">
        <v>5.8999999999999997E-2</v>
      </c>
      <c r="D38" s="7">
        <v>0</v>
      </c>
      <c r="E38" s="7">
        <v>-0.10100000000000001</v>
      </c>
      <c r="F38" s="7">
        <v>0</v>
      </c>
    </row>
    <row r="39" spans="1:6" ht="15.75" customHeight="1" x14ac:dyDescent="0.2">
      <c r="A39" s="3" t="s">
        <v>246</v>
      </c>
      <c r="B39" s="9">
        <v>-53.87</v>
      </c>
      <c r="C39" s="9">
        <v>0</v>
      </c>
      <c r="D39" s="9">
        <v>-78.900000000000006</v>
      </c>
      <c r="E39" s="9">
        <v>-175.00700000000001</v>
      </c>
      <c r="F39" s="9">
        <v>0</v>
      </c>
    </row>
    <row r="40" spans="1:6" ht="15.75" customHeight="1" x14ac:dyDescent="0.2">
      <c r="A40" s="5" t="s">
        <v>247</v>
      </c>
      <c r="B40" s="7">
        <v>1.417</v>
      </c>
      <c r="C40" s="7">
        <v>6.21</v>
      </c>
      <c r="D40" s="7">
        <v>9.1</v>
      </c>
      <c r="E40" s="7">
        <v>-18.170999999999999</v>
      </c>
      <c r="F40" s="7">
        <v>-10.1</v>
      </c>
    </row>
    <row r="41" spans="1:6" ht="15.75" customHeight="1" x14ac:dyDescent="0.2">
      <c r="A41" s="3" t="s">
        <v>248</v>
      </c>
      <c r="B41" s="9">
        <v>0</v>
      </c>
      <c r="C41" s="9">
        <v>0</v>
      </c>
      <c r="D41" s="9">
        <v>0</v>
      </c>
      <c r="E41" s="9">
        <v>0</v>
      </c>
      <c r="F41" s="9">
        <v>-250</v>
      </c>
    </row>
    <row r="42" spans="1:6" ht="15.75" customHeight="1" x14ac:dyDescent="0.2">
      <c r="A42" s="5" t="s">
        <v>249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</row>
    <row r="43" spans="1:6" ht="15.75" customHeight="1" x14ac:dyDescent="0.2">
      <c r="A43" s="3" t="s">
        <v>250</v>
      </c>
      <c r="B43" s="9">
        <v>-5.0140000000000002</v>
      </c>
      <c r="C43" s="9">
        <v>0</v>
      </c>
      <c r="D43" s="9">
        <v>-4.5999999999999996</v>
      </c>
      <c r="E43" s="9">
        <v>0</v>
      </c>
      <c r="F43" s="9">
        <v>-7.8</v>
      </c>
    </row>
    <row r="44" spans="1:6" ht="15.75" customHeight="1" x14ac:dyDescent="0.2">
      <c r="A44" s="5" t="s">
        <v>251</v>
      </c>
      <c r="B44" s="7">
        <v>0</v>
      </c>
      <c r="C44" s="7">
        <v>0</v>
      </c>
      <c r="D44" s="7">
        <v>0</v>
      </c>
      <c r="E44" s="7">
        <v>0.81</v>
      </c>
      <c r="F44" s="7">
        <v>10.199999999999999</v>
      </c>
    </row>
    <row r="45" spans="1:6" ht="15.75" customHeight="1" x14ac:dyDescent="0.2">
      <c r="A45" s="3" t="s">
        <v>252</v>
      </c>
      <c r="B45" s="9">
        <v>-0.17</v>
      </c>
      <c r="C45" s="9">
        <v>-2.0910000000000002</v>
      </c>
      <c r="D45" s="9">
        <v>-0.7</v>
      </c>
      <c r="E45" s="9">
        <v>-1.6</v>
      </c>
      <c r="F45" s="9">
        <v>-0.3</v>
      </c>
    </row>
    <row r="46" spans="1:6" ht="15.75" customHeight="1" x14ac:dyDescent="0.2">
      <c r="A46" s="5" t="s">
        <v>253</v>
      </c>
      <c r="B46" s="7">
        <v>0</v>
      </c>
      <c r="C46" s="7">
        <v>0.21199999999999999</v>
      </c>
      <c r="D46" s="7">
        <v>1.4</v>
      </c>
      <c r="E46" s="7">
        <v>0.30499999999999999</v>
      </c>
      <c r="F46" s="7">
        <v>0.2</v>
      </c>
    </row>
    <row r="47" spans="1:6" ht="15.75" customHeight="1" x14ac:dyDescent="0.2">
      <c r="A47" s="3" t="s">
        <v>254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</row>
    <row r="48" spans="1:6" ht="15.75" customHeight="1" x14ac:dyDescent="0.2">
      <c r="A48" s="47" t="s">
        <v>255</v>
      </c>
      <c r="B48" s="48">
        <f>B35+B36+B37+B38+B39+B40+B41+B42+B43+B44+B45+B46+B47</f>
        <v>-471.44600000000003</v>
      </c>
      <c r="C48" s="48">
        <f>C35+C36+C37+C38+C39+C40+C41+C42+C43+C44+C45+C46+C47</f>
        <v>-480.774</v>
      </c>
      <c r="D48" s="48">
        <f>D35+D36+D37+D38+D39+D40+D41+D42+D43+D44+D45+D46+D47</f>
        <v>-948.774</v>
      </c>
      <c r="E48" s="48">
        <f>E35+E36+E37+E38+E39+E40+E41+E42+E43+E44+E45+E46+E47</f>
        <v>-775.27200000000016</v>
      </c>
      <c r="F48" s="48">
        <f>F35+F36+F37+F38+F39+F40+F41+F42+F43+F44+F45+F46+F47</f>
        <v>-565.29999999999984</v>
      </c>
    </row>
    <row r="49" spans="1:6" ht="15.75" customHeight="1" x14ac:dyDescent="0.2">
      <c r="A49" s="3" t="s">
        <v>256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</row>
    <row r="50" spans="1:6" ht="15.75" customHeight="1" x14ac:dyDescent="0.2">
      <c r="A50" s="5" t="s">
        <v>257</v>
      </c>
      <c r="B50" s="7">
        <v>-22.158999999999999</v>
      </c>
      <c r="C50" s="7">
        <v>-43.177999999999997</v>
      </c>
      <c r="D50" s="7">
        <v>2.2999999999999998</v>
      </c>
      <c r="E50" s="7">
        <v>0</v>
      </c>
      <c r="F50" s="7">
        <v>0</v>
      </c>
    </row>
    <row r="51" spans="1:6" ht="15.75" customHeight="1" x14ac:dyDescent="0.2">
      <c r="A51" s="3" t="s">
        <v>258</v>
      </c>
      <c r="B51" s="9">
        <v>-19.533999999999999</v>
      </c>
      <c r="C51" s="9">
        <v>-20.05</v>
      </c>
      <c r="D51" s="9">
        <v>-20.100000000000001</v>
      </c>
      <c r="E51" s="9">
        <v>-21.46</v>
      </c>
      <c r="F51" s="9">
        <v>-21</v>
      </c>
    </row>
    <row r="52" spans="1:6" ht="15.75" customHeight="1" x14ac:dyDescent="0.2">
      <c r="A52" s="5" t="s">
        <v>259</v>
      </c>
      <c r="B52" s="7">
        <v>12.098000000000001</v>
      </c>
      <c r="C52" s="7">
        <v>3.9129999999999998</v>
      </c>
      <c r="D52" s="7">
        <v>29.3</v>
      </c>
      <c r="E52" s="7">
        <v>37.130000000000003</v>
      </c>
      <c r="F52" s="7">
        <v>29.1</v>
      </c>
    </row>
    <row r="53" spans="1:6" ht="15.75" customHeight="1" x14ac:dyDescent="0.2">
      <c r="A53" s="3" t="s">
        <v>260</v>
      </c>
      <c r="B53" s="9">
        <v>-54.51</v>
      </c>
      <c r="C53" s="9">
        <v>-70.164000000000001</v>
      </c>
      <c r="D53" s="9">
        <v>-84.7</v>
      </c>
      <c r="E53" s="9">
        <v>-86.474000000000004</v>
      </c>
      <c r="F53" s="9">
        <v>-119.3</v>
      </c>
    </row>
    <row r="54" spans="1:6" ht="15.75" customHeight="1" x14ac:dyDescent="0.2">
      <c r="A54" s="5" t="s">
        <v>261</v>
      </c>
      <c r="B54" s="7">
        <v>-331.71800000000002</v>
      </c>
      <c r="C54" s="7">
        <v>214.59899999999999</v>
      </c>
      <c r="D54" s="7">
        <v>398.5</v>
      </c>
      <c r="E54" s="7">
        <v>678.41300000000001</v>
      </c>
      <c r="F54" s="7">
        <v>-509.4</v>
      </c>
    </row>
    <row r="55" spans="1:6" ht="15.75" customHeight="1" x14ac:dyDescent="0.2">
      <c r="A55" s="3" t="s">
        <v>262</v>
      </c>
      <c r="B55" s="9">
        <v>-180.53700000000001</v>
      </c>
      <c r="C55" s="9">
        <v>-192.053</v>
      </c>
      <c r="D55" s="9">
        <v>-192.3</v>
      </c>
      <c r="E55" s="9">
        <v>-192.38</v>
      </c>
      <c r="F55" s="9">
        <v>-60.1</v>
      </c>
    </row>
    <row r="56" spans="1:6" ht="15.75" customHeight="1" x14ac:dyDescent="0.2">
      <c r="A56" s="5" t="s">
        <v>263</v>
      </c>
      <c r="B56" s="7">
        <v>-6.0069999999999997</v>
      </c>
      <c r="C56" s="7">
        <v>-5.5949999999999998</v>
      </c>
      <c r="D56" s="7">
        <v>-3.8</v>
      </c>
      <c r="E56" s="7">
        <v>-1.774</v>
      </c>
      <c r="F56" s="7">
        <v>-1.8</v>
      </c>
    </row>
    <row r="57" spans="1:6" ht="15.75" customHeight="1" x14ac:dyDescent="0.2">
      <c r="A57" s="3" t="s">
        <v>264</v>
      </c>
      <c r="B57" s="9">
        <f>B49+B50+B51+B52+B53+B54+B55+B56</f>
        <v>-602.36699999999996</v>
      </c>
      <c r="C57" s="9">
        <f>C49+C50+C51+C52+C53+C54+C55+C56</f>
        <v>-112.52799999999999</v>
      </c>
      <c r="D57" s="9">
        <f>D49+D50+D51+D52+D53+D54+D55+D56</f>
        <v>129.19999999999999</v>
      </c>
      <c r="E57" s="9">
        <f>E49+E50+E51+E52+E53+E54+E55+E56</f>
        <v>413.45500000000004</v>
      </c>
      <c r="F57" s="9">
        <f>F49+F50+F51+F52+F53+F54+F55+F56</f>
        <v>-682.49999999999989</v>
      </c>
    </row>
    <row r="58" spans="1:6" ht="15.75" customHeight="1" x14ac:dyDescent="0.2">
      <c r="A58" s="12" t="s">
        <v>265</v>
      </c>
      <c r="B58" s="7">
        <f>B57+B48+B34</f>
        <v>184.72299999999996</v>
      </c>
      <c r="C58" s="7">
        <f>C57+C48+C34</f>
        <v>41.036999999999807</v>
      </c>
      <c r="D58" s="7">
        <f>D57+D48+D34</f>
        <v>222.33000000000015</v>
      </c>
      <c r="E58" s="7">
        <f>E57+E48+E34</f>
        <v>508.46100000000001</v>
      </c>
      <c r="F58" s="7">
        <f>F57+F48+F34</f>
        <v>-537.59999999999968</v>
      </c>
    </row>
    <row r="59" spans="1:6" ht="15" customHeight="1" x14ac:dyDescent="0.2">
      <c r="A59" t="s">
        <v>134</v>
      </c>
      <c r="B59">
        <f>B34+B48</f>
        <v>787.09</v>
      </c>
      <c r="C59">
        <f>C34+C48</f>
        <v>153.56499999999983</v>
      </c>
      <c r="D59">
        <f>D34+D48</f>
        <v>93.130000000000223</v>
      </c>
      <c r="E59">
        <f>E34+E48</f>
        <v>95.005999999999972</v>
      </c>
      <c r="F59">
        <f>F34+F48</f>
        <v>144.9000000000002</v>
      </c>
    </row>
    <row r="60" spans="1:6" ht="15.75" customHeight="1" x14ac:dyDescent="0.2">
      <c r="A60" s="3" t="s">
        <v>266</v>
      </c>
      <c r="B60" s="9">
        <v>-20.081</v>
      </c>
      <c r="C60" s="9">
        <v>14.154999999999999</v>
      </c>
      <c r="D60" s="9">
        <v>1221.3</v>
      </c>
      <c r="E60" s="9">
        <f>D63</f>
        <v>1424.43</v>
      </c>
      <c r="F60" s="9">
        <f>E63</f>
        <v>1221.3</v>
      </c>
    </row>
    <row r="61" spans="1:6" ht="15.75" customHeight="1" x14ac:dyDescent="0.2">
      <c r="A61" s="5" t="s">
        <v>267</v>
      </c>
      <c r="B61" s="7">
        <v>0</v>
      </c>
      <c r="C61" s="7">
        <v>0</v>
      </c>
      <c r="D61" s="7">
        <v>-19.2</v>
      </c>
      <c r="E61" s="7">
        <v>3.6</v>
      </c>
      <c r="F61" s="7">
        <v>53.7</v>
      </c>
    </row>
    <row r="62" spans="1:6" ht="15.75" customHeight="1" x14ac:dyDescent="0.2">
      <c r="A62" s="3" t="s">
        <v>268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</row>
    <row r="63" spans="1:6" ht="15.75" customHeight="1" x14ac:dyDescent="0.2">
      <c r="A63" s="5" t="s">
        <v>269</v>
      </c>
      <c r="B63" s="7">
        <f>B58+B60+B61</f>
        <v>164.64199999999997</v>
      </c>
      <c r="C63" s="7">
        <f>C58+C60+C61</f>
        <v>55.191999999999808</v>
      </c>
      <c r="D63" s="7">
        <f>D58+D60+D61</f>
        <v>1424.43</v>
      </c>
      <c r="E63" s="7">
        <f>D60</f>
        <v>1221.3</v>
      </c>
      <c r="F63" s="7">
        <f>E60</f>
        <v>1424.43</v>
      </c>
    </row>
    <row r="64" spans="1:6" ht="15.75" customHeight="1" x14ac:dyDescent="0.2">
      <c r="A64" s="3" t="s">
        <v>270</v>
      </c>
      <c r="B64" s="9">
        <v>28.122</v>
      </c>
      <c r="C64" s="9">
        <v>18.533999999999999</v>
      </c>
      <c r="D64" s="9">
        <v>-51.7</v>
      </c>
      <c r="E64" s="9">
        <v>-38.6</v>
      </c>
      <c r="F64" s="9">
        <v>-68.2</v>
      </c>
    </row>
    <row r="65" ht="3.75" customHeight="1" x14ac:dyDescent="0.2"/>
    <row r="66" ht="3.75" customHeight="1" x14ac:dyDescent="0.2"/>
    <row r="67" ht="3.75" customHeight="1" x14ac:dyDescent="0.2"/>
  </sheetData>
  <mergeCells count="1">
    <mergeCell ref="A2:F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3"/>
  <sheetViews>
    <sheetView zoomScale="150" zoomScaleNormal="150" workbookViewId="0">
      <pane xSplit="1" ySplit="4" topLeftCell="B18" activePane="bottomRight" state="frozen"/>
      <selection pane="topRight" activeCell="B1" sqref="B1"/>
      <selection pane="bottomLeft" activeCell="A5" sqref="A5"/>
      <selection pane="bottomRight" activeCell="B11" sqref="B11"/>
    </sheetView>
  </sheetViews>
  <sheetFormatPr baseColWidth="10" defaultColWidth="8.83203125" defaultRowHeight="15" customHeight="1" x14ac:dyDescent="0.2"/>
  <cols>
    <col min="1" max="1" width="36.6640625" customWidth="1"/>
    <col min="2" max="6" width="13.6640625" customWidth="1"/>
  </cols>
  <sheetData>
    <row r="1" spans="1:6" ht="3.75" customHeight="1" x14ac:dyDescent="0.2"/>
    <row r="2" spans="1:6" ht="25.5" customHeight="1" x14ac:dyDescent="0.2">
      <c r="A2" s="287" t="s">
        <v>271</v>
      </c>
      <c r="B2" s="288"/>
      <c r="C2" s="288"/>
      <c r="D2" s="288"/>
      <c r="E2" s="288"/>
      <c r="F2" s="289"/>
    </row>
    <row r="3" spans="1:6" ht="3.75" customHeight="1" x14ac:dyDescent="0.2"/>
    <row r="4" spans="1:6" ht="18" customHeight="1" x14ac:dyDescent="0.2">
      <c r="A4" s="1"/>
      <c r="B4" s="2">
        <v>2021</v>
      </c>
      <c r="C4" s="2">
        <v>2022</v>
      </c>
      <c r="D4" s="2">
        <v>2023</v>
      </c>
      <c r="E4" s="2">
        <v>2024</v>
      </c>
      <c r="F4" s="2">
        <v>2025</v>
      </c>
    </row>
    <row r="5" spans="1:6" ht="15.75" customHeight="1" x14ac:dyDescent="0.2">
      <c r="A5" s="20" t="s">
        <v>272</v>
      </c>
      <c r="B5" s="21"/>
      <c r="C5" s="21"/>
      <c r="D5" s="21"/>
      <c r="E5" s="21"/>
      <c r="F5" s="21"/>
    </row>
    <row r="6" spans="1:6" ht="15.75" customHeight="1" x14ac:dyDescent="0.2">
      <c r="A6" s="3" t="s">
        <v>273</v>
      </c>
      <c r="B6" s="29">
        <f>-('Balance Sheet'!B14/'P&amp;L'!B11)*365</f>
        <v>48.382757354130185</v>
      </c>
      <c r="C6" s="29">
        <f>-('Balance Sheet'!C14/'P&amp;L'!C11)*365</f>
        <v>54.149657930974186</v>
      </c>
      <c r="D6" s="29">
        <f>-('Balance Sheet'!D14/'P&amp;L'!D11)*365</f>
        <v>65.928962094949583</v>
      </c>
      <c r="E6" s="29">
        <f>-('Balance Sheet'!E14/'P&amp;L'!E11)*365</f>
        <v>65.011362237887894</v>
      </c>
      <c r="F6" s="29">
        <f>-('Balance Sheet'!F14/'P&amp;L'!F11)*365</f>
        <v>55.952051263607153</v>
      </c>
    </row>
    <row r="7" spans="1:6" ht="15.75" customHeight="1" x14ac:dyDescent="0.2">
      <c r="A7" s="5" t="s">
        <v>274</v>
      </c>
      <c r="B7" s="32">
        <f>('Balance Sheet'!B14/'P&amp;L'!B5)*365</f>
        <v>43.535108545629903</v>
      </c>
      <c r="C7" s="32">
        <f>('Balance Sheet'!C14/'P&amp;L'!C5)*365</f>
        <v>48.69967171866093</v>
      </c>
      <c r="D7" s="32">
        <f>('Balance Sheet'!D14/'P&amp;L'!D5)*365</f>
        <v>56.952381213080116</v>
      </c>
      <c r="E7" s="32">
        <f>('Balance Sheet'!E14/'P&amp;L'!E5)*365</f>
        <v>50.749593437707993</v>
      </c>
      <c r="F7" s="32">
        <f>('Balance Sheet'!F14/'P&amp;L'!F5)*365</f>
        <v>44.475206434367458</v>
      </c>
    </row>
    <row r="8" spans="1:6" ht="15.75" customHeight="1" x14ac:dyDescent="0.2">
      <c r="A8" s="3" t="s">
        <v>275</v>
      </c>
      <c r="B8" s="29">
        <f>('Balance Sheet'!B15/'P&amp;L'!B5)*365</f>
        <v>27.799157118863906</v>
      </c>
      <c r="C8" s="29">
        <f>('Balance Sheet'!C15/'P&amp;L'!C5)*365</f>
        <v>26.267716380649095</v>
      </c>
      <c r="D8" s="29">
        <f>('Balance Sheet'!D15/'P&amp;L'!D5)*365</f>
        <v>27.12636661757702</v>
      </c>
      <c r="E8" s="29">
        <f>('Balance Sheet'!E15/'P&amp;L'!E5)*365</f>
        <v>27.921290528117318</v>
      </c>
      <c r="F8" s="29">
        <f>('Balance Sheet'!F15/'P&amp;L'!F5)*365</f>
        <v>27.655915720459515</v>
      </c>
    </row>
    <row r="9" spans="1:6" ht="15.75" customHeight="1" x14ac:dyDescent="0.2">
      <c r="A9" s="5" t="s">
        <v>276</v>
      </c>
      <c r="B9" s="32">
        <f>-('Balance Sheet'!B29/'P&amp;L'!B11)*365</f>
        <v>47.352309383994864</v>
      </c>
      <c r="C9" s="32">
        <f>-('Balance Sheet'!C29/'P&amp;L'!C11)*365</f>
        <v>49.623900461192108</v>
      </c>
      <c r="D9" s="32">
        <f>-('Balance Sheet'!D29/'P&amp;L'!D11)*365</f>
        <v>59.944672949318395</v>
      </c>
      <c r="E9" s="32">
        <f>-('Balance Sheet'!E29/'P&amp;L'!E11)*365</f>
        <v>82.332329086348267</v>
      </c>
      <c r="F9" s="32">
        <f>-('Balance Sheet'!F29/'P&amp;L'!F11)*365</f>
        <v>72.464393612429859</v>
      </c>
    </row>
    <row r="10" spans="1:6" ht="15.75" customHeight="1" x14ac:dyDescent="0.2">
      <c r="A10" s="3" t="s">
        <v>277</v>
      </c>
      <c r="B10" s="31">
        <f>('Balance Sheet'!B14+'Balance Sheet'!B15-'Balance Sheet'!B24-'Balance Sheet'!B29)/'P&amp;L'!B5</f>
        <v>7.6733445856059582E-2</v>
      </c>
      <c r="C10" s="31">
        <f>('Balance Sheet'!C14+'Balance Sheet'!C15-'Balance Sheet'!C24-'Balance Sheet'!C29)/'P&amp;L'!C5</f>
        <v>8.122914823769925E-2</v>
      </c>
      <c r="D10" s="31">
        <f>('Balance Sheet'!D14+'Balance Sheet'!D15-'Balance Sheet'!D24-'Balance Sheet'!D29)/'P&amp;L'!D5</f>
        <v>8.327539294532435E-2</v>
      </c>
      <c r="E10" s="31">
        <f>('Balance Sheet'!E14+'Balance Sheet'!E15-'Balance Sheet'!E24-'Balance Sheet'!E29)/'P&amp;L'!E5</f>
        <v>2.5437154792495791E-2</v>
      </c>
      <c r="F10" s="31">
        <f>('Balance Sheet'!F14+'Balance Sheet'!F15-'Balance Sheet'!F24-'Balance Sheet'!F29)/'P&amp;L'!F5</f>
        <v>3.1504767168716315E-2</v>
      </c>
    </row>
    <row r="11" spans="1:6" ht="15.75" customHeight="1" x14ac:dyDescent="0.2">
      <c r="A11" s="20" t="s">
        <v>278</v>
      </c>
      <c r="B11" s="21">
        <f>'Balance Sheet'!B14+'Balance Sheet'!B15-'Balance Sheet'!B29</f>
        <v>1893.1379999999995</v>
      </c>
      <c r="C11" s="21">
        <f>'Balance Sheet'!C14+'Balance Sheet'!C15-'Balance Sheet'!C29</f>
        <v>2114.1409999999996</v>
      </c>
      <c r="D11" s="21">
        <f>'Balance Sheet'!D14+'Balance Sheet'!D15-'Balance Sheet'!D29</f>
        <v>1616.2000000000003</v>
      </c>
      <c r="E11" s="21">
        <f>'Balance Sheet'!E14+'Balance Sheet'!E15-'Balance Sheet'!E29</f>
        <v>639</v>
      </c>
      <c r="F11" s="21">
        <f>'Balance Sheet'!F14+'Balance Sheet'!F15-'Balance Sheet'!F29</f>
        <v>835.5</v>
      </c>
    </row>
    <row r="12" spans="1:6" ht="15.75" customHeight="1" x14ac:dyDescent="0.2">
      <c r="A12" s="3" t="s">
        <v>139</v>
      </c>
      <c r="B12" s="29">
        <f>'P&amp;L'!B5</f>
        <v>24054.400000000001</v>
      </c>
      <c r="C12" s="29">
        <f>'P&amp;L'!C5</f>
        <v>25435.5</v>
      </c>
      <c r="D12" s="29">
        <f>'P&amp;L'!D5</f>
        <v>18265.899999999998</v>
      </c>
      <c r="E12" s="29">
        <f>'P&amp;L'!E5</f>
        <v>16196.78</v>
      </c>
      <c r="F12" s="29">
        <f>'P&amp;L'!F5</f>
        <v>20987.3</v>
      </c>
    </row>
    <row r="13" spans="1:6" ht="3.75" customHeight="1" x14ac:dyDescent="0.2">
      <c r="B13" s="33"/>
      <c r="C13" s="33"/>
      <c r="D13" s="33"/>
      <c r="E13" s="33"/>
      <c r="F13" s="33"/>
    </row>
    <row r="14" spans="1:6" ht="15.75" customHeight="1" x14ac:dyDescent="0.2">
      <c r="A14" s="20" t="s">
        <v>279</v>
      </c>
      <c r="B14" s="21"/>
      <c r="C14" s="21"/>
      <c r="D14" s="21"/>
      <c r="E14" s="21"/>
      <c r="F14" s="21"/>
    </row>
    <row r="15" spans="1:6" ht="15.75" customHeight="1" x14ac:dyDescent="0.2">
      <c r="A15" s="3" t="s">
        <v>280</v>
      </c>
      <c r="B15" s="29"/>
      <c r="C15" s="29"/>
      <c r="D15" s="29"/>
      <c r="E15" s="29"/>
      <c r="F15" s="29"/>
    </row>
    <row r="16" spans="1:6" ht="15.75" customHeight="1" x14ac:dyDescent="0.2">
      <c r="A16" s="5" t="s">
        <v>281</v>
      </c>
      <c r="B16" s="32">
        <v>213.00299999999999</v>
      </c>
      <c r="C16" s="32">
        <v>158.62299999999999</v>
      </c>
      <c r="D16" s="32">
        <v>163.66399999999999</v>
      </c>
      <c r="E16" s="32">
        <v>228.31899999999999</v>
      </c>
      <c r="F16" s="32"/>
    </row>
    <row r="17" spans="1:6" ht="15.75" customHeight="1" x14ac:dyDescent="0.2">
      <c r="A17" s="3" t="s">
        <v>282</v>
      </c>
      <c r="B17" s="29">
        <f>12676.355-B16</f>
        <v>12463.351999999999</v>
      </c>
      <c r="C17" s="29">
        <f>13050.441-C16</f>
        <v>12891.818000000001</v>
      </c>
      <c r="D17" s="29">
        <f>9403.672-D16</f>
        <v>9240.0079999999998</v>
      </c>
      <c r="E17" s="29">
        <f>9668.771-E16</f>
        <v>9440.4520000000011</v>
      </c>
      <c r="F17" s="29"/>
    </row>
    <row r="18" spans="1:6" ht="15.75" customHeight="1" x14ac:dyDescent="0.2">
      <c r="A18" s="5" t="s">
        <v>283</v>
      </c>
      <c r="B18" s="32">
        <v>6422.2839999999997</v>
      </c>
      <c r="C18" s="32">
        <v>6399.7460000000001</v>
      </c>
      <c r="D18" s="32">
        <v>4167.5240000000003</v>
      </c>
      <c r="E18" s="32">
        <v>2741.8029999999999</v>
      </c>
      <c r="F18" s="32"/>
    </row>
    <row r="19" spans="1:6" ht="15.75" customHeight="1" x14ac:dyDescent="0.2">
      <c r="A19" s="3" t="s">
        <v>284</v>
      </c>
      <c r="B19" s="29">
        <v>3761.2049999999999</v>
      </c>
      <c r="C19" s="29">
        <v>4618.1980000000003</v>
      </c>
      <c r="D19" s="29">
        <v>3681.5549999999998</v>
      </c>
      <c r="E19" s="29">
        <v>1648.55</v>
      </c>
      <c r="F19" s="29"/>
    </row>
    <row r="20" spans="1:6" ht="15.75" customHeight="1" x14ac:dyDescent="0.2">
      <c r="A20" s="5" t="s">
        <v>285</v>
      </c>
      <c r="B20" s="32">
        <v>1010.605</v>
      </c>
      <c r="C20" s="32">
        <v>1151.961</v>
      </c>
      <c r="D20" s="32">
        <v>839.78499999999997</v>
      </c>
      <c r="E20" s="32">
        <v>706.54300000000001</v>
      </c>
      <c r="F20" s="32"/>
    </row>
    <row r="21" spans="1:6" ht="15.75" customHeight="1" x14ac:dyDescent="0.2">
      <c r="A21" s="3" t="s">
        <v>286</v>
      </c>
      <c r="B21" s="29">
        <v>183.99100000000001</v>
      </c>
      <c r="C21" s="29">
        <v>215.17699999999999</v>
      </c>
      <c r="D21" s="29">
        <v>173.35400000000001</v>
      </c>
      <c r="E21" s="29">
        <v>88.015000000000001</v>
      </c>
      <c r="F21" s="29"/>
    </row>
    <row r="22" spans="1:6" ht="15.75" customHeight="1" x14ac:dyDescent="0.2">
      <c r="A22" s="5" t="s">
        <v>287</v>
      </c>
      <c r="B22" s="32">
        <f>B16+B17+B18+B19+B20+B21</f>
        <v>24054.44</v>
      </c>
      <c r="C22" s="32">
        <f>C16+C17+C18+C19+C20+C21</f>
        <v>25435.523000000001</v>
      </c>
      <c r="D22" s="32">
        <f>D16+D17+D18+D19+D20+D21</f>
        <v>18265.89</v>
      </c>
      <c r="E22" s="32">
        <f>SUM(E16:E21)</f>
        <v>14853.681999999999</v>
      </c>
      <c r="F22" s="32"/>
    </row>
    <row r="23" spans="1:6" ht="3.75" customHeight="1" x14ac:dyDescent="0.2">
      <c r="B23" s="33"/>
      <c r="C23" s="33"/>
      <c r="D23" s="33"/>
      <c r="E23" s="33"/>
      <c r="F23" s="33"/>
    </row>
    <row r="24" spans="1:6" ht="15.75" customHeight="1" x14ac:dyDescent="0.2">
      <c r="A24" s="3" t="s">
        <v>288</v>
      </c>
      <c r="B24" s="29"/>
      <c r="C24" s="29"/>
      <c r="D24" s="29"/>
      <c r="E24" s="29"/>
      <c r="F24" s="29"/>
    </row>
    <row r="25" spans="1:6" ht="15.75" customHeight="1" x14ac:dyDescent="0.2">
      <c r="A25" s="5" t="s">
        <v>281</v>
      </c>
      <c r="B25" s="32">
        <v>592.68799999999999</v>
      </c>
      <c r="C25" s="32">
        <v>618.81399999999996</v>
      </c>
      <c r="D25" s="32">
        <v>856.21199999999999</v>
      </c>
      <c r="E25" s="32">
        <v>1050.386</v>
      </c>
      <c r="F25" s="32"/>
    </row>
    <row r="26" spans="1:6" ht="15.75" customHeight="1" x14ac:dyDescent="0.2">
      <c r="A26" s="3" t="s">
        <v>282</v>
      </c>
      <c r="B26" s="29">
        <f>1487.101-B25</f>
        <v>894.41300000000012</v>
      </c>
      <c r="C26" s="29">
        <f>1656.524-C25</f>
        <v>1037.71</v>
      </c>
      <c r="D26" s="29">
        <f>2209.63-D25</f>
        <v>1353.4180000000001</v>
      </c>
      <c r="E26" s="29">
        <f>2482.124-E25</f>
        <v>1431.7379999999998</v>
      </c>
      <c r="F26" s="29"/>
    </row>
    <row r="27" spans="1:6" ht="15.75" customHeight="1" x14ac:dyDescent="0.2">
      <c r="A27" s="5" t="s">
        <v>283</v>
      </c>
      <c r="B27" s="32">
        <v>1200.47</v>
      </c>
      <c r="C27" s="32">
        <v>1189.9770000000001</v>
      </c>
      <c r="D27" s="32">
        <v>1119.23</v>
      </c>
      <c r="E27" s="32">
        <v>604.48099999999999</v>
      </c>
      <c r="F27" s="32"/>
    </row>
    <row r="28" spans="1:6" ht="15.75" customHeight="1" x14ac:dyDescent="0.2">
      <c r="A28" s="3" t="s">
        <v>284</v>
      </c>
      <c r="B28" s="29">
        <v>122.99299999999999</v>
      </c>
      <c r="C28" s="29">
        <v>128.273</v>
      </c>
      <c r="D28" s="29">
        <v>349.08100000000002</v>
      </c>
      <c r="E28" s="29">
        <v>223.64699999999999</v>
      </c>
      <c r="F28" s="29"/>
    </row>
    <row r="29" spans="1:6" ht="15.75" customHeight="1" x14ac:dyDescent="0.2">
      <c r="A29" s="5" t="s">
        <v>285</v>
      </c>
      <c r="B29" s="32">
        <v>51.228999999999999</v>
      </c>
      <c r="C29" s="32">
        <v>70.001999999999995</v>
      </c>
      <c r="D29" s="32">
        <v>75.923000000000002</v>
      </c>
      <c r="E29" s="32">
        <v>71.486999999999995</v>
      </c>
      <c r="F29" s="32"/>
    </row>
    <row r="30" spans="1:6" ht="15.75" customHeight="1" x14ac:dyDescent="0.2">
      <c r="A30" s="3" t="s">
        <v>286</v>
      </c>
      <c r="B30" s="29">
        <v>4.2830000000000004</v>
      </c>
      <c r="C30" s="29">
        <v>3.76</v>
      </c>
      <c r="D30" s="29">
        <v>3.2170000000000001</v>
      </c>
      <c r="E30" s="29">
        <v>5.976</v>
      </c>
      <c r="F30" s="29"/>
    </row>
    <row r="31" spans="1:6" ht="15.75" customHeight="1" x14ac:dyDescent="0.2">
      <c r="A31" s="5" t="s">
        <v>287</v>
      </c>
      <c r="B31" s="32">
        <f>B25+B26+B27+B28+B29+B30</f>
        <v>2866.0759999999996</v>
      </c>
      <c r="C31" s="32">
        <f>C25+C26+C27+C28+C29+C30</f>
        <v>3048.5360000000005</v>
      </c>
      <c r="D31" s="32">
        <f>D25+D26+D27+D28+D29+D30</f>
        <v>3757.0810000000006</v>
      </c>
      <c r="E31" s="32">
        <f>E25+E26+E27+E28+E29+E30</f>
        <v>3387.7149999999997</v>
      </c>
      <c r="F31" s="32"/>
    </row>
    <row r="32" spans="1:6" ht="3.75" customHeight="1" x14ac:dyDescent="0.2">
      <c r="B32" s="33"/>
      <c r="C32" s="33"/>
      <c r="D32" s="33"/>
      <c r="E32" s="33"/>
      <c r="F32" s="33"/>
    </row>
    <row r="33" spans="1:6" ht="15.75" customHeight="1" x14ac:dyDescent="0.2">
      <c r="A33" s="20" t="s">
        <v>289</v>
      </c>
      <c r="B33" s="21"/>
      <c r="C33" s="21"/>
      <c r="D33" s="21"/>
      <c r="E33" s="21"/>
      <c r="F33" s="21"/>
    </row>
    <row r="34" spans="1:6" ht="3.75" customHeight="1" x14ac:dyDescent="0.2">
      <c r="B34" s="33"/>
      <c r="C34" s="33"/>
      <c r="D34" s="33"/>
      <c r="E34" s="33"/>
      <c r="F34" s="33"/>
    </row>
    <row r="35" spans="1:6" ht="15.75" customHeight="1" x14ac:dyDescent="0.2">
      <c r="A35" s="3" t="s">
        <v>290</v>
      </c>
      <c r="B35" s="29">
        <v>190.9</v>
      </c>
      <c r="C35" s="29">
        <v>181.3</v>
      </c>
      <c r="D35" s="29">
        <v>185</v>
      </c>
      <c r="E35" s="29">
        <f>D44</f>
        <v>222.81799999999998</v>
      </c>
      <c r="F35" s="29">
        <f>E44</f>
        <v>232.26999999999998</v>
      </c>
    </row>
    <row r="36" spans="1:6" ht="15.75" customHeight="1" x14ac:dyDescent="0.2">
      <c r="A36" s="5" t="s">
        <v>291</v>
      </c>
      <c r="B36" s="32"/>
      <c r="C36" s="32"/>
      <c r="D36" s="32" t="s">
        <v>292</v>
      </c>
      <c r="E36" s="32">
        <v>17.954999999999998</v>
      </c>
      <c r="F36" s="32"/>
    </row>
    <row r="37" spans="1:6" ht="15.75" customHeight="1" x14ac:dyDescent="0.2">
      <c r="A37" s="3" t="s">
        <v>293</v>
      </c>
      <c r="B37" s="29">
        <v>36.853999999999999</v>
      </c>
      <c r="C37" s="29">
        <v>32.430999999999997</v>
      </c>
      <c r="D37" s="29">
        <v>77.268000000000001</v>
      </c>
      <c r="E37" s="29">
        <v>56.131</v>
      </c>
      <c r="F37" s="29">
        <f>-'Cash Flow'!F37</f>
        <v>39</v>
      </c>
    </row>
    <row r="38" spans="1:6" ht="15.75" customHeight="1" x14ac:dyDescent="0.2">
      <c r="A38" s="5" t="s">
        <v>294</v>
      </c>
      <c r="B38" s="32">
        <v>-0.623</v>
      </c>
      <c r="C38" s="32">
        <v>-4.0000000000000001E-3</v>
      </c>
      <c r="D38" s="32">
        <v>-4.0000000000000001E-3</v>
      </c>
      <c r="E38" s="32">
        <v>-0.10100000000000001</v>
      </c>
      <c r="F38" s="32">
        <v>0</v>
      </c>
    </row>
    <row r="39" spans="1:6" ht="15.75" customHeight="1" x14ac:dyDescent="0.2">
      <c r="A39" s="3" t="s">
        <v>295</v>
      </c>
      <c r="B39" s="29">
        <v>-31.123000000000001</v>
      </c>
      <c r="C39" s="29">
        <v>-27.265000000000001</v>
      </c>
      <c r="D39" s="29">
        <v>-26.321000000000002</v>
      </c>
      <c r="E39" s="29">
        <v>-28.632000000000001</v>
      </c>
      <c r="F39" s="29">
        <f>-E46*E49</f>
        <v>-30.903041913178395</v>
      </c>
    </row>
    <row r="40" spans="1:6" ht="15.75" customHeight="1" x14ac:dyDescent="0.2">
      <c r="A40" s="5" t="s">
        <v>215</v>
      </c>
      <c r="B40" s="32">
        <v>-22.968</v>
      </c>
      <c r="C40" s="32">
        <v>-16.027999999999999</v>
      </c>
      <c r="D40" s="32">
        <v>-7.7229999999999999</v>
      </c>
      <c r="E40" s="32">
        <v>-14.95</v>
      </c>
      <c r="F40" s="32"/>
    </row>
    <row r="41" spans="1:6" ht="15.75" customHeight="1" x14ac:dyDescent="0.2">
      <c r="A41" s="3" t="s">
        <v>296</v>
      </c>
      <c r="B41" s="29">
        <v>1.9790000000000001</v>
      </c>
      <c r="C41" s="29">
        <v>8.3290000000000006</v>
      </c>
      <c r="D41" s="29">
        <v>4.3079999999999998</v>
      </c>
      <c r="E41" s="29">
        <v>-4.4850000000000003</v>
      </c>
      <c r="F41" s="29"/>
    </row>
    <row r="42" spans="1:6" ht="15.75" customHeight="1" x14ac:dyDescent="0.2">
      <c r="A42" s="5" t="s">
        <v>297</v>
      </c>
      <c r="B42" s="32">
        <v>0.72199999999999998</v>
      </c>
      <c r="C42" s="32">
        <v>-0.16600000000000001</v>
      </c>
      <c r="D42" s="32">
        <v>-0.22</v>
      </c>
      <c r="E42" s="32">
        <v>4.4999999999999998E-2</v>
      </c>
      <c r="F42" s="32"/>
    </row>
    <row r="43" spans="1:6" ht="15.75" customHeight="1" x14ac:dyDescent="0.2">
      <c r="A43" s="3" t="s">
        <v>109</v>
      </c>
      <c r="B43" s="29">
        <v>5.5259999999999998</v>
      </c>
      <c r="C43" s="29">
        <v>6.391</v>
      </c>
      <c r="D43" s="29">
        <v>-9.49</v>
      </c>
      <c r="E43" s="29">
        <v>-16.510999999999999</v>
      </c>
      <c r="F43" s="29"/>
    </row>
    <row r="44" spans="1:6" ht="15.75" customHeight="1" x14ac:dyDescent="0.2">
      <c r="A44" s="5" t="s">
        <v>298</v>
      </c>
      <c r="B44" s="32">
        <f>SUM(B35:B43)</f>
        <v>181.26700000000008</v>
      </c>
      <c r="C44" s="32">
        <f>SUM(C35:C43)</f>
        <v>184.988</v>
      </c>
      <c r="D44" s="32">
        <f>SUM(D35:D43)</f>
        <v>222.81799999999998</v>
      </c>
      <c r="E44" s="32">
        <f>SUM(E35:E43)</f>
        <v>232.26999999999998</v>
      </c>
      <c r="F44" s="32">
        <f>SUM(F35:F43)</f>
        <v>240.3669580868216</v>
      </c>
    </row>
    <row r="45" spans="1:6" ht="3.75" customHeight="1" x14ac:dyDescent="0.2">
      <c r="B45" s="33"/>
      <c r="C45" s="33"/>
      <c r="D45" s="33"/>
      <c r="E45" s="33"/>
      <c r="F45" s="33"/>
    </row>
    <row r="46" spans="1:6" ht="15.75" customHeight="1" x14ac:dyDescent="0.2">
      <c r="A46" s="3" t="s">
        <v>299</v>
      </c>
      <c r="B46" s="29">
        <v>553.78499999999997</v>
      </c>
      <c r="C46" s="29">
        <v>573.96100000000001</v>
      </c>
      <c r="D46" s="29">
        <v>592.94000000000005</v>
      </c>
      <c r="E46" s="29">
        <v>639.971</v>
      </c>
      <c r="F46" s="29">
        <f>E46+F37-(4%*E46)</f>
        <v>653.37216000000001</v>
      </c>
    </row>
    <row r="47" spans="1:6" ht="15.75" customHeight="1" x14ac:dyDescent="0.2">
      <c r="A47" s="5" t="s">
        <v>300</v>
      </c>
      <c r="B47" s="32">
        <v>-372.52199999999999</v>
      </c>
      <c r="C47" s="32">
        <v>-389.01</v>
      </c>
      <c r="D47" s="32">
        <v>-370.17099999999999</v>
      </c>
      <c r="E47" s="32">
        <v>-408.11</v>
      </c>
      <c r="F47" s="32">
        <f>E47+F39+(4%*E46)</f>
        <v>-413.41420191317843</v>
      </c>
    </row>
    <row r="48" spans="1:6" ht="3.75" customHeight="1" x14ac:dyDescent="0.2">
      <c r="B48" s="33"/>
      <c r="C48" s="33"/>
      <c r="D48" s="33"/>
      <c r="E48" s="33"/>
      <c r="F48" s="33"/>
    </row>
    <row r="49" spans="1:6" ht="15.75" customHeight="1" x14ac:dyDescent="0.2">
      <c r="A49" s="3" t="s">
        <v>301</v>
      </c>
      <c r="B49" s="31">
        <v>5.8999999999999997E-2</v>
      </c>
      <c r="C49" s="31">
        <f>-C39/B46</f>
        <v>4.9233908466282048E-2</v>
      </c>
      <c r="D49" s="31">
        <f>-D39/C46</f>
        <v>4.5858516519415082E-2</v>
      </c>
      <c r="E49" s="31">
        <f>-E39/D46</f>
        <v>4.8288191047998107E-2</v>
      </c>
      <c r="F49" s="31">
        <v>0.06</v>
      </c>
    </row>
    <row r="50" spans="1:6" ht="3.75" customHeight="1" x14ac:dyDescent="0.2">
      <c r="B50" s="33"/>
      <c r="C50" s="33"/>
      <c r="D50" s="33"/>
      <c r="E50" s="33"/>
      <c r="F50" s="33"/>
    </row>
    <row r="51" spans="1:6" ht="15.75" customHeight="1" x14ac:dyDescent="0.2">
      <c r="A51" s="20" t="s">
        <v>302</v>
      </c>
      <c r="B51" s="21"/>
      <c r="C51" s="21"/>
      <c r="D51" s="21"/>
      <c r="E51" s="21"/>
      <c r="F51" s="21"/>
    </row>
    <row r="52" spans="1:6" ht="15.75" customHeight="1" x14ac:dyDescent="0.2">
      <c r="A52" s="3" t="s">
        <v>290</v>
      </c>
      <c r="B52" s="29">
        <v>156</v>
      </c>
      <c r="C52" s="29">
        <v>158.6</v>
      </c>
      <c r="D52" s="29">
        <v>158.416</v>
      </c>
      <c r="E52" s="29">
        <v>155.29900000000001</v>
      </c>
      <c r="F52" s="29">
        <f>E57</f>
        <v>155.29900000000001</v>
      </c>
    </row>
    <row r="53" spans="1:6" ht="15.75" customHeight="1" x14ac:dyDescent="0.2">
      <c r="A53" s="5" t="s">
        <v>94</v>
      </c>
      <c r="B53" s="32">
        <v>0</v>
      </c>
      <c r="C53" s="32">
        <v>0</v>
      </c>
      <c r="D53" s="32">
        <v>0</v>
      </c>
      <c r="E53" s="32">
        <v>0</v>
      </c>
      <c r="F53" s="32">
        <v>0</v>
      </c>
    </row>
    <row r="54" spans="1:6" ht="15.75" customHeight="1" x14ac:dyDescent="0.2">
      <c r="A54" s="3" t="s">
        <v>303</v>
      </c>
      <c r="B54" s="29">
        <v>0</v>
      </c>
      <c r="C54" s="29">
        <v>0</v>
      </c>
      <c r="D54" s="29">
        <v>0</v>
      </c>
      <c r="E54" s="29">
        <v>0</v>
      </c>
      <c r="F54" s="29">
        <v>0</v>
      </c>
    </row>
    <row r="55" spans="1:6" ht="15.75" customHeight="1" x14ac:dyDescent="0.2">
      <c r="A55" s="5" t="s">
        <v>304</v>
      </c>
      <c r="B55" s="32">
        <v>0</v>
      </c>
      <c r="C55" s="32">
        <v>-2.149</v>
      </c>
      <c r="D55" s="32">
        <v>0</v>
      </c>
      <c r="E55" s="32">
        <v>0</v>
      </c>
      <c r="F55" s="32">
        <v>0</v>
      </c>
    </row>
    <row r="56" spans="1:6" ht="15.75" customHeight="1" x14ac:dyDescent="0.2">
      <c r="A56" s="3" t="s">
        <v>297</v>
      </c>
      <c r="B56" s="29">
        <v>2.5950000000000002</v>
      </c>
      <c r="C56" s="29">
        <v>1.9790000000000001</v>
      </c>
      <c r="D56" s="29">
        <v>-0.14399999999999999</v>
      </c>
      <c r="E56" s="29">
        <v>0</v>
      </c>
      <c r="F56" s="29">
        <v>0</v>
      </c>
    </row>
    <row r="57" spans="1:6" ht="15.75" customHeight="1" x14ac:dyDescent="0.2">
      <c r="A57" s="5" t="s">
        <v>298</v>
      </c>
      <c r="B57" s="32">
        <f>SUM(B52:B56)</f>
        <v>158.595</v>
      </c>
      <c r="C57" s="32">
        <f>SUM(C52:C56)</f>
        <v>158.43</v>
      </c>
      <c r="D57" s="32">
        <f>SUM(D52:D56)</f>
        <v>158.27199999999999</v>
      </c>
      <c r="E57" s="32">
        <f>SUM(E52:E56)</f>
        <v>155.29900000000001</v>
      </c>
      <c r="F57" s="32">
        <f>SUM(F52:F56)</f>
        <v>155.29900000000001</v>
      </c>
    </row>
    <row r="58" spans="1:6" ht="3.75" customHeight="1" x14ac:dyDescent="0.2">
      <c r="B58" s="33"/>
      <c r="C58" s="33"/>
      <c r="D58" s="33"/>
      <c r="E58" s="33"/>
      <c r="F58" s="33"/>
    </row>
    <row r="59" spans="1:6" ht="15.75" customHeight="1" x14ac:dyDescent="0.2">
      <c r="A59" s="3" t="s">
        <v>299</v>
      </c>
      <c r="B59" s="29">
        <v>168.91499999999999</v>
      </c>
      <c r="C59" s="29">
        <v>171.495</v>
      </c>
      <c r="D59" s="29">
        <v>168.892</v>
      </c>
      <c r="E59" s="29">
        <v>182.23599999999999</v>
      </c>
      <c r="F59" s="29">
        <v>182.23599999999999</v>
      </c>
    </row>
    <row r="60" spans="1:6" ht="15.75" customHeight="1" x14ac:dyDescent="0.2">
      <c r="A60" s="5" t="s">
        <v>305</v>
      </c>
      <c r="B60" s="32">
        <v>-10.33</v>
      </c>
      <c r="C60" s="32">
        <v>-13.08</v>
      </c>
      <c r="D60" s="32">
        <v>-10.621</v>
      </c>
      <c r="E60" s="32">
        <v>-26.937000000000001</v>
      </c>
      <c r="F60" s="32">
        <v>-26.937000000000001</v>
      </c>
    </row>
    <row r="61" spans="1:6" ht="3.75" customHeight="1" x14ac:dyDescent="0.2">
      <c r="B61" s="33"/>
      <c r="C61" s="33"/>
      <c r="D61" s="33"/>
      <c r="E61" s="33"/>
      <c r="F61" s="33"/>
    </row>
    <row r="62" spans="1:6" ht="15.75" customHeight="1" x14ac:dyDescent="0.2">
      <c r="A62" s="20" t="s">
        <v>306</v>
      </c>
      <c r="B62" s="21"/>
      <c r="C62" s="21"/>
      <c r="D62" s="21"/>
      <c r="E62" s="21"/>
      <c r="F62" s="21"/>
    </row>
    <row r="63" spans="1:6" ht="15.75" customHeight="1" x14ac:dyDescent="0.2">
      <c r="A63" s="3" t="s">
        <v>290</v>
      </c>
      <c r="B63" s="29">
        <v>2107.7750000000001</v>
      </c>
      <c r="C63" s="29">
        <v>2289.1</v>
      </c>
      <c r="D63" s="29">
        <v>2479.63</v>
      </c>
      <c r="E63" s="29">
        <f>D72</f>
        <v>2973.8520000000008</v>
      </c>
      <c r="F63" s="29">
        <f>E72</f>
        <v>2319.6220000000008</v>
      </c>
    </row>
    <row r="64" spans="1:6" ht="15.75" customHeight="1" x14ac:dyDescent="0.2">
      <c r="A64" s="5" t="s">
        <v>94</v>
      </c>
      <c r="B64" s="32">
        <v>0</v>
      </c>
      <c r="C64" s="32">
        <v>0</v>
      </c>
      <c r="D64" s="32">
        <v>0</v>
      </c>
      <c r="E64" s="32">
        <v>0</v>
      </c>
      <c r="F64" s="32">
        <v>0</v>
      </c>
    </row>
    <row r="65" spans="1:6" ht="15.75" customHeight="1" x14ac:dyDescent="0.2">
      <c r="A65" s="3" t="s">
        <v>291</v>
      </c>
      <c r="B65" s="29"/>
      <c r="C65" s="29"/>
      <c r="D65" s="29" t="s">
        <v>292</v>
      </c>
      <c r="E65" s="29">
        <v>0.02</v>
      </c>
      <c r="F65" s="29">
        <v>0</v>
      </c>
    </row>
    <row r="66" spans="1:6" ht="15.75" customHeight="1" x14ac:dyDescent="0.2">
      <c r="A66" s="5" t="s">
        <v>293</v>
      </c>
      <c r="B66" s="32">
        <v>379.27199999999999</v>
      </c>
      <c r="C66" s="32">
        <v>458.85899999999998</v>
      </c>
      <c r="D66" s="32">
        <v>807.47400000000005</v>
      </c>
      <c r="E66" s="32">
        <v>526.10699999999997</v>
      </c>
      <c r="F66" s="32">
        <f>'Cash Flow'!F35</f>
        <v>-285.8</v>
      </c>
    </row>
    <row r="67" spans="1:6" ht="15.75" customHeight="1" x14ac:dyDescent="0.2">
      <c r="A67" s="3" t="s">
        <v>294</v>
      </c>
      <c r="B67" s="29">
        <v>-1.1890000000000001</v>
      </c>
      <c r="C67" s="29">
        <v>-4.5979999999999999</v>
      </c>
      <c r="D67" s="29">
        <v>-10.363</v>
      </c>
      <c r="E67" s="29">
        <v>-0.01</v>
      </c>
      <c r="F67" s="29">
        <v>0</v>
      </c>
    </row>
    <row r="68" spans="1:6" ht="15.75" customHeight="1" x14ac:dyDescent="0.2">
      <c r="A68" s="5" t="s">
        <v>214</v>
      </c>
      <c r="B68" s="32">
        <v>-228.31200000000001</v>
      </c>
      <c r="C68" s="32">
        <v>-238.34</v>
      </c>
      <c r="D68" s="32">
        <v>-252.13900000000001</v>
      </c>
      <c r="E68" s="32">
        <v>-234.93</v>
      </c>
      <c r="F68" s="32">
        <f>-E78*F81</f>
        <v>-268.54564999999997</v>
      </c>
    </row>
    <row r="69" spans="1:6" ht="15.75" customHeight="1" x14ac:dyDescent="0.2">
      <c r="A69" s="3" t="s">
        <v>307</v>
      </c>
      <c r="B69" s="29">
        <v>-25.436</v>
      </c>
      <c r="C69" s="29">
        <v>-3.754</v>
      </c>
      <c r="D69" s="29">
        <v>-38.073</v>
      </c>
      <c r="E69" s="29">
        <v>-929.86500000000001</v>
      </c>
      <c r="F69" s="29">
        <v>0</v>
      </c>
    </row>
    <row r="70" spans="1:6" ht="15.75" customHeight="1" x14ac:dyDescent="0.2">
      <c r="A70" s="5" t="s">
        <v>297</v>
      </c>
      <c r="B70" s="32">
        <v>61.822000000000003</v>
      </c>
      <c r="C70" s="32">
        <v>-15.513</v>
      </c>
      <c r="D70" s="32">
        <v>-22.649000000000001</v>
      </c>
      <c r="E70" s="32">
        <v>-3.2000000000000001E-2</v>
      </c>
      <c r="F70" s="32">
        <v>0</v>
      </c>
    </row>
    <row r="71" spans="1:6" ht="15.75" customHeight="1" x14ac:dyDescent="0.2">
      <c r="A71" s="3" t="s">
        <v>109</v>
      </c>
      <c r="B71" s="29">
        <v>-4.8419999999999996</v>
      </c>
      <c r="C71" s="29">
        <v>-6.1139999999999999</v>
      </c>
      <c r="D71" s="29">
        <v>9.9719999999999995</v>
      </c>
      <c r="E71" s="29">
        <v>-15.52</v>
      </c>
      <c r="F71" s="29">
        <v>0</v>
      </c>
    </row>
    <row r="72" spans="1:6" ht="15.75" customHeight="1" x14ac:dyDescent="0.2">
      <c r="A72" s="5" t="s">
        <v>298</v>
      </c>
      <c r="B72" s="32">
        <f>SUM(B63:B71)</f>
        <v>2289.09</v>
      </c>
      <c r="C72" s="32">
        <f>SUM(C63:C71)</f>
        <v>2479.64</v>
      </c>
      <c r="D72" s="32">
        <f>SUM(D63:D71)</f>
        <v>2973.8520000000008</v>
      </c>
      <c r="E72" s="32">
        <f>SUM(E63:E71)</f>
        <v>2319.6220000000008</v>
      </c>
      <c r="F72" s="32">
        <f>SUM(F63:F71)</f>
        <v>1765.2763500000008</v>
      </c>
    </row>
    <row r="73" spans="1:6" ht="15.75" customHeight="1" x14ac:dyDescent="0.2">
      <c r="A73" s="3" t="s">
        <v>308</v>
      </c>
      <c r="B73" s="29"/>
      <c r="C73" s="29"/>
      <c r="D73" s="29"/>
      <c r="E73" s="29"/>
      <c r="F73" s="29"/>
    </row>
    <row r="74" spans="1:6" ht="3.75" customHeight="1" x14ac:dyDescent="0.2">
      <c r="B74" s="33"/>
      <c r="C74" s="33"/>
      <c r="D74" s="33"/>
      <c r="E74" s="33"/>
      <c r="F74" s="33"/>
    </row>
    <row r="75" spans="1:6" ht="15.75" customHeight="1" x14ac:dyDescent="0.2">
      <c r="A75" s="5" t="s">
        <v>299</v>
      </c>
      <c r="B75" s="32">
        <v>4914.6899999999996</v>
      </c>
      <c r="C75" s="32">
        <v>5277.3609999999999</v>
      </c>
      <c r="D75" s="32">
        <v>5915.4880000000003</v>
      </c>
      <c r="E75" s="32">
        <v>6288.0519999999997</v>
      </c>
      <c r="F75" s="32">
        <f>E75+F68-(4%*E75)</f>
        <v>5767.9842699999999</v>
      </c>
    </row>
    <row r="76" spans="1:6" ht="15.75" customHeight="1" x14ac:dyDescent="0.2">
      <c r="A76" s="3" t="s">
        <v>309</v>
      </c>
      <c r="B76" s="29">
        <v>512.94100000000003</v>
      </c>
      <c r="C76" s="29">
        <v>612.54100000000005</v>
      </c>
      <c r="D76" s="29">
        <v>1135.367</v>
      </c>
      <c r="E76" s="29">
        <v>917.13900000000001</v>
      </c>
      <c r="F76" s="29">
        <f>E76-250</f>
        <v>667.13900000000001</v>
      </c>
    </row>
    <row r="77" spans="1:6" ht="15.75" customHeight="1" x14ac:dyDescent="0.2">
      <c r="A77" s="20" t="s">
        <v>310</v>
      </c>
      <c r="B77" s="21">
        <v>-4.9000000000000004</v>
      </c>
      <c r="C77" s="21">
        <f>B76-C76</f>
        <v>-99.600000000000023</v>
      </c>
      <c r="D77" s="21">
        <f>C76-D76</f>
        <v>-522.82599999999991</v>
      </c>
      <c r="E77" s="21">
        <f>D76-E76</f>
        <v>218.22799999999995</v>
      </c>
      <c r="F77" s="21">
        <f>E76-F76</f>
        <v>250</v>
      </c>
    </row>
    <row r="78" spans="1:6" ht="15.75" customHeight="1" x14ac:dyDescent="0.2">
      <c r="A78" s="3" t="s">
        <v>311</v>
      </c>
      <c r="B78" s="29">
        <f>B75-B76</f>
        <v>4401.7489999999998</v>
      </c>
      <c r="C78" s="29">
        <f>C75-C76</f>
        <v>4664.82</v>
      </c>
      <c r="D78" s="29">
        <f>D75-D76</f>
        <v>4780.1210000000001</v>
      </c>
      <c r="E78" s="29">
        <f>E75-E76</f>
        <v>5370.9129999999996</v>
      </c>
      <c r="F78" s="29">
        <f>F75-F76</f>
        <v>5100.8452699999998</v>
      </c>
    </row>
    <row r="79" spans="1:6" ht="15.75" customHeight="1" x14ac:dyDescent="0.2">
      <c r="A79" s="5" t="s">
        <v>305</v>
      </c>
      <c r="B79" s="32">
        <v>-2625.5990000000002</v>
      </c>
      <c r="C79" s="32">
        <v>-2797.7289999999998</v>
      </c>
      <c r="D79" s="32">
        <v>-2941.6350000000002</v>
      </c>
      <c r="E79" s="32">
        <v>-3970.6410000000001</v>
      </c>
      <c r="F79" s="32">
        <f>E79+(4%*E75)</f>
        <v>-3719.1189199999999</v>
      </c>
    </row>
    <row r="80" spans="1:6" ht="3.75" customHeight="1" x14ac:dyDescent="0.2">
      <c r="B80" s="33"/>
      <c r="C80" s="33"/>
      <c r="D80" s="33"/>
      <c r="E80" s="33"/>
      <c r="F80" s="33"/>
    </row>
    <row r="81" spans="1:6" ht="15.75" customHeight="1" x14ac:dyDescent="0.2">
      <c r="A81" s="3" t="s">
        <v>312</v>
      </c>
      <c r="B81" s="31">
        <v>5.7000000000000002E-2</v>
      </c>
      <c r="C81" s="31">
        <f>-C68/B78</f>
        <v>5.4146658521419561E-2</v>
      </c>
      <c r="D81" s="31">
        <f>-D68/C78</f>
        <v>5.4051174536209334E-2</v>
      </c>
      <c r="E81" s="31">
        <f>-E68/D78</f>
        <v>4.9147291459776858E-2</v>
      </c>
      <c r="F81" s="31">
        <v>0.05</v>
      </c>
    </row>
    <row r="82" spans="1:6" ht="3.75" customHeight="1" x14ac:dyDescent="0.2">
      <c r="B82" s="33"/>
      <c r="C82" s="33"/>
      <c r="D82" s="33"/>
      <c r="E82" s="33"/>
      <c r="F82" s="33"/>
    </row>
    <row r="83" spans="1:6" ht="3.75" customHeight="1" x14ac:dyDescent="0.2">
      <c r="B83" s="33"/>
      <c r="C83" s="33"/>
      <c r="D83" s="33"/>
      <c r="E83" s="33"/>
      <c r="F83" s="33"/>
    </row>
    <row r="84" spans="1:6" ht="15.75" customHeight="1" x14ac:dyDescent="0.2">
      <c r="A84" s="20" t="s">
        <v>313</v>
      </c>
      <c r="B84" s="21"/>
      <c r="C84" s="21"/>
      <c r="D84" s="21"/>
      <c r="E84" s="21"/>
      <c r="F84" s="21"/>
    </row>
    <row r="85" spans="1:6" ht="15.75" customHeight="1" x14ac:dyDescent="0.2">
      <c r="A85" s="3" t="s">
        <v>290</v>
      </c>
      <c r="B85" s="29">
        <v>55.9</v>
      </c>
      <c r="C85" s="29">
        <v>62</v>
      </c>
      <c r="D85" s="29">
        <v>52.668999999999997</v>
      </c>
      <c r="E85" s="29">
        <f>D91</f>
        <v>62.89</v>
      </c>
      <c r="F85" s="29">
        <f>E91</f>
        <v>72.789000000000001</v>
      </c>
    </row>
    <row r="86" spans="1:6" ht="15.75" customHeight="1" x14ac:dyDescent="0.2">
      <c r="A86" s="5" t="s">
        <v>314</v>
      </c>
      <c r="B86" s="32">
        <v>-0.68</v>
      </c>
      <c r="C86" s="32"/>
      <c r="D86" s="32">
        <v>0</v>
      </c>
      <c r="E86" s="32">
        <v>0</v>
      </c>
      <c r="F86" s="32">
        <v>0</v>
      </c>
    </row>
    <row r="87" spans="1:6" ht="15.75" customHeight="1" x14ac:dyDescent="0.2">
      <c r="A87" s="3" t="s">
        <v>315</v>
      </c>
      <c r="B87" s="29"/>
      <c r="C87" s="29"/>
      <c r="D87" s="29">
        <v>0</v>
      </c>
      <c r="E87" s="29">
        <v>0</v>
      </c>
      <c r="F87" s="29">
        <v>0</v>
      </c>
    </row>
    <row r="88" spans="1:6" ht="15.75" customHeight="1" x14ac:dyDescent="0.2">
      <c r="A88" s="5" t="s">
        <v>293</v>
      </c>
      <c r="B88" s="32">
        <v>25.573</v>
      </c>
      <c r="C88" s="32">
        <v>13.811</v>
      </c>
      <c r="D88" s="32">
        <v>31.568999999999999</v>
      </c>
      <c r="E88" s="32">
        <v>29.646000000000001</v>
      </c>
      <c r="F88" s="32">
        <f>-F89</f>
        <v>25.027656797583081</v>
      </c>
    </row>
    <row r="89" spans="1:6" ht="15.75" customHeight="1" x14ac:dyDescent="0.2">
      <c r="A89" s="3" t="s">
        <v>316</v>
      </c>
      <c r="B89" s="29">
        <v>-20.113</v>
      </c>
      <c r="C89" s="29">
        <v>-20.295999999999999</v>
      </c>
      <c r="D89" s="29">
        <v>-20.068999999999999</v>
      </c>
      <c r="E89" s="29">
        <v>-21.623999999999999</v>
      </c>
      <c r="F89" s="29">
        <f>-F85*F96</f>
        <v>-25.027656797583081</v>
      </c>
    </row>
    <row r="90" spans="1:6" ht="15.75" customHeight="1" x14ac:dyDescent="0.2">
      <c r="A90" s="5" t="s">
        <v>297</v>
      </c>
      <c r="B90" s="32">
        <v>1.3779999999999999</v>
      </c>
      <c r="C90" s="32">
        <f>52.669-C89-C88-C85</f>
        <v>-2.8459999999999965</v>
      </c>
      <c r="D90" s="32">
        <v>-1.2789999999999999</v>
      </c>
      <c r="E90" s="32">
        <v>1.877</v>
      </c>
      <c r="F90" s="32">
        <v>0</v>
      </c>
    </row>
    <row r="91" spans="1:6" ht="15.75" customHeight="1" x14ac:dyDescent="0.2">
      <c r="A91" s="3" t="s">
        <v>298</v>
      </c>
      <c r="B91" s="29">
        <f>SUM(B85:B90)</f>
        <v>62.058000000000007</v>
      </c>
      <c r="C91" s="29">
        <f>SUM(C85:C90)</f>
        <v>52.669000000000011</v>
      </c>
      <c r="D91" s="29">
        <f>SUM(D85:D90)</f>
        <v>62.89</v>
      </c>
      <c r="E91" s="29">
        <f>SUM(E85:E90)</f>
        <v>72.789000000000001</v>
      </c>
      <c r="F91" s="29">
        <f>SUM(F85:F90)</f>
        <v>72.789000000000001</v>
      </c>
    </row>
    <row r="92" spans="1:6" ht="3.75" customHeight="1" x14ac:dyDescent="0.2">
      <c r="B92" s="33"/>
      <c r="C92" s="33"/>
      <c r="D92" s="33"/>
      <c r="E92" s="33"/>
      <c r="F92" s="33"/>
    </row>
    <row r="93" spans="1:6" ht="15.75" customHeight="1" x14ac:dyDescent="0.2">
      <c r="A93" s="5" t="s">
        <v>299</v>
      </c>
      <c r="B93" s="32">
        <v>100.32899999999999</v>
      </c>
      <c r="C93" s="32">
        <v>103.01</v>
      </c>
      <c r="D93" s="32">
        <v>123.393</v>
      </c>
      <c r="E93" s="32">
        <v>126.328</v>
      </c>
      <c r="F93" s="32">
        <f>E93+F88</f>
        <v>151.35565679758309</v>
      </c>
    </row>
    <row r="94" spans="1:6" ht="15.75" customHeight="1" x14ac:dyDescent="0.2">
      <c r="A94" s="3" t="s">
        <v>305</v>
      </c>
      <c r="B94" s="29">
        <v>-38.286000000000001</v>
      </c>
      <c r="C94" s="29">
        <v>-50.34</v>
      </c>
      <c r="D94" s="29">
        <v>-60.502000000000002</v>
      </c>
      <c r="E94" s="29">
        <v>-53.36</v>
      </c>
      <c r="F94" s="29">
        <f>E94+F89</f>
        <v>-78.387656797583077</v>
      </c>
    </row>
    <row r="95" spans="1:6" ht="3.75" customHeight="1" x14ac:dyDescent="0.2">
      <c r="B95" s="33"/>
      <c r="C95" s="33"/>
      <c r="D95" s="33"/>
      <c r="E95" s="33"/>
      <c r="F95" s="33"/>
    </row>
    <row r="96" spans="1:6" ht="15.75" customHeight="1" x14ac:dyDescent="0.2">
      <c r="A96" s="5" t="s">
        <v>317</v>
      </c>
      <c r="B96" s="30">
        <f>-B89/B85</f>
        <v>0.35980322003577819</v>
      </c>
      <c r="C96" s="30">
        <f>-C89/C85</f>
        <v>0.32735483870967741</v>
      </c>
      <c r="D96" s="30">
        <f>-D89/D85</f>
        <v>0.38104008050276256</v>
      </c>
      <c r="E96" s="30">
        <f>-E89/E85</f>
        <v>0.34383844808395608</v>
      </c>
      <c r="F96" s="30">
        <f>E96</f>
        <v>0.34383844808395608</v>
      </c>
    </row>
    <row r="97" spans="1:6" ht="3.75" customHeight="1" x14ac:dyDescent="0.2">
      <c r="B97" s="33"/>
      <c r="C97" s="33"/>
      <c r="D97" s="33"/>
      <c r="E97" s="33"/>
      <c r="F97" s="33"/>
    </row>
    <row r="98" spans="1:6" ht="15.75" customHeight="1" x14ac:dyDescent="0.2">
      <c r="A98" s="20" t="s">
        <v>318</v>
      </c>
      <c r="B98" s="21"/>
      <c r="C98" s="21"/>
      <c r="D98" s="21"/>
      <c r="E98" s="21"/>
      <c r="F98" s="21"/>
    </row>
    <row r="99" spans="1:6" ht="15.75" customHeight="1" x14ac:dyDescent="0.2">
      <c r="A99" s="3" t="s">
        <v>319</v>
      </c>
      <c r="B99" s="29">
        <v>139.80000000000001</v>
      </c>
      <c r="C99" s="29">
        <v>155.1</v>
      </c>
      <c r="D99" s="29">
        <v>158.94499999999999</v>
      </c>
      <c r="E99" s="29">
        <f>D107</f>
        <v>314.73799999999994</v>
      </c>
      <c r="F99" s="29">
        <f>E107</f>
        <v>595.36860000000001</v>
      </c>
    </row>
    <row r="100" spans="1:6" ht="15.75" customHeight="1" x14ac:dyDescent="0.2">
      <c r="A100" s="5" t="s">
        <v>320</v>
      </c>
      <c r="B100" s="32">
        <v>0</v>
      </c>
      <c r="C100" s="32">
        <v>0</v>
      </c>
      <c r="D100" s="32">
        <v>0</v>
      </c>
      <c r="E100" s="32">
        <v>0</v>
      </c>
      <c r="F100" s="32">
        <v>0</v>
      </c>
    </row>
    <row r="101" spans="1:6" ht="15.75" customHeight="1" x14ac:dyDescent="0.2">
      <c r="A101" s="3" t="s">
        <v>321</v>
      </c>
      <c r="B101" s="29">
        <v>0</v>
      </c>
      <c r="C101" s="29">
        <v>0</v>
      </c>
      <c r="D101" s="29">
        <v>178.863</v>
      </c>
      <c r="E101" s="29">
        <v>325.01299999999998</v>
      </c>
      <c r="F101" s="29">
        <v>0</v>
      </c>
    </row>
    <row r="102" spans="1:6" ht="15.75" customHeight="1" x14ac:dyDescent="0.2">
      <c r="A102" s="5" t="s">
        <v>322</v>
      </c>
      <c r="B102" s="32">
        <v>17.347000000000001</v>
      </c>
      <c r="C102" s="32">
        <v>13.473000000000001</v>
      </c>
      <c r="D102" s="32">
        <v>0.4</v>
      </c>
      <c r="E102" s="32">
        <v>-44.12</v>
      </c>
      <c r="F102" s="32">
        <v>0</v>
      </c>
    </row>
    <row r="103" spans="1:6" ht="15.75" customHeight="1" x14ac:dyDescent="0.2">
      <c r="A103" s="3" t="s">
        <v>323</v>
      </c>
      <c r="B103" s="29">
        <v>-4.8079999999999998</v>
      </c>
      <c r="C103" s="29">
        <v>-11.901999999999999</v>
      </c>
      <c r="D103" s="29">
        <v>-5.8719999999999999</v>
      </c>
      <c r="E103" s="29">
        <v>-0.37159999999999999</v>
      </c>
      <c r="F103" s="29">
        <v>0</v>
      </c>
    </row>
    <row r="104" spans="1:6" ht="15.75" customHeight="1" x14ac:dyDescent="0.2">
      <c r="A104" s="5" t="s">
        <v>324</v>
      </c>
      <c r="B104" s="32">
        <v>0</v>
      </c>
      <c r="C104" s="32">
        <v>0</v>
      </c>
      <c r="D104" s="32">
        <v>-14.452</v>
      </c>
      <c r="E104" s="32">
        <v>0</v>
      </c>
      <c r="F104" s="32">
        <v>0</v>
      </c>
    </row>
    <row r="105" spans="1:6" ht="15.75" customHeight="1" x14ac:dyDescent="0.2">
      <c r="A105" s="3" t="s">
        <v>325</v>
      </c>
      <c r="B105" s="29">
        <v>-3.1139999999999999</v>
      </c>
      <c r="C105" s="29">
        <v>1.8580000000000001</v>
      </c>
      <c r="D105" s="29">
        <v>1.4730000000000001</v>
      </c>
      <c r="E105" s="29">
        <v>-0.13350000000000001</v>
      </c>
      <c r="F105" s="29">
        <v>0</v>
      </c>
    </row>
    <row r="106" spans="1:6" ht="15.75" customHeight="1" x14ac:dyDescent="0.2">
      <c r="A106" s="5" t="s">
        <v>297</v>
      </c>
      <c r="B106" s="32">
        <v>5.8769999999999998</v>
      </c>
      <c r="C106" s="32">
        <v>0.374</v>
      </c>
      <c r="D106" s="32">
        <v>-4.6189999999999998</v>
      </c>
      <c r="E106" s="32">
        <v>0.2427</v>
      </c>
      <c r="F106" s="32">
        <v>0</v>
      </c>
    </row>
    <row r="107" spans="1:6" ht="15.75" customHeight="1" x14ac:dyDescent="0.2">
      <c r="A107" s="3" t="s">
        <v>326</v>
      </c>
      <c r="B107" s="29">
        <f>SUM(B99:B106)</f>
        <v>155.10200000000003</v>
      </c>
      <c r="C107" s="29">
        <f>SUM(C99:C106)</f>
        <v>158.90300000000002</v>
      </c>
      <c r="D107" s="29">
        <f>SUM(D99:D106)</f>
        <v>314.73799999999994</v>
      </c>
      <c r="E107" s="29">
        <f>SUM(E99:E106)</f>
        <v>595.36860000000001</v>
      </c>
      <c r="F107" s="29">
        <f>SUM(F99:F106)</f>
        <v>595.36860000000001</v>
      </c>
    </row>
    <row r="108" spans="1:6" ht="3.75" customHeight="1" x14ac:dyDescent="0.2">
      <c r="B108" s="33"/>
      <c r="C108" s="33"/>
      <c r="D108" s="33"/>
      <c r="E108" s="33"/>
      <c r="F108" s="33"/>
    </row>
    <row r="109" spans="1:6" ht="15.75" customHeight="1" x14ac:dyDescent="0.2">
      <c r="A109" s="20" t="s">
        <v>327</v>
      </c>
      <c r="B109" s="21"/>
      <c r="C109" s="21"/>
      <c r="D109" s="21"/>
      <c r="E109" s="21"/>
      <c r="F109" s="21"/>
    </row>
    <row r="110" spans="1:6" ht="15.75" customHeight="1" x14ac:dyDescent="0.2">
      <c r="A110" s="3" t="s">
        <v>328</v>
      </c>
      <c r="B110" s="29">
        <v>426.4</v>
      </c>
      <c r="C110" s="29">
        <v>387.2</v>
      </c>
      <c r="D110" s="29">
        <v>286.83699999999999</v>
      </c>
      <c r="E110" s="29">
        <f>D119</f>
        <v>315.16299999999995</v>
      </c>
      <c r="F110" s="29">
        <f>E119</f>
        <v>304.21999999999991</v>
      </c>
    </row>
    <row r="111" spans="1:6" ht="15.75" customHeight="1" x14ac:dyDescent="0.2">
      <c r="A111" s="5" t="s">
        <v>329</v>
      </c>
      <c r="B111" s="32">
        <v>0</v>
      </c>
      <c r="C111" s="32">
        <v>0</v>
      </c>
      <c r="D111" s="32">
        <v>0</v>
      </c>
      <c r="E111" s="32">
        <v>0</v>
      </c>
      <c r="F111" s="32">
        <v>0</v>
      </c>
    </row>
    <row r="112" spans="1:6" ht="15.75" customHeight="1" x14ac:dyDescent="0.2">
      <c r="A112" s="3" t="s">
        <v>330</v>
      </c>
      <c r="B112" s="29">
        <v>47.863999999999997</v>
      </c>
      <c r="C112" s="29">
        <v>37.137</v>
      </c>
      <c r="D112" s="29">
        <v>34.311999999999998</v>
      </c>
      <c r="E112" s="29">
        <v>38.494</v>
      </c>
      <c r="F112" s="29">
        <f>F123</f>
        <v>38.878624500000001</v>
      </c>
    </row>
    <row r="113" spans="1:6" ht="15.75" customHeight="1" x14ac:dyDescent="0.2">
      <c r="A113" s="5" t="s">
        <v>331</v>
      </c>
      <c r="B113" s="32">
        <v>0.61099999999999999</v>
      </c>
      <c r="C113" s="32">
        <v>0.32</v>
      </c>
      <c r="D113" s="32">
        <v>0.59499999999999997</v>
      </c>
      <c r="E113" s="32">
        <v>0.10299999999999999</v>
      </c>
      <c r="F113" s="32">
        <v>0</v>
      </c>
    </row>
    <row r="114" spans="1:6" ht="15.75" customHeight="1" x14ac:dyDescent="0.2">
      <c r="A114" s="3" t="s">
        <v>332</v>
      </c>
      <c r="B114" s="29">
        <v>-42.43</v>
      </c>
      <c r="C114" s="29">
        <v>-55.395000000000003</v>
      </c>
      <c r="D114" s="29">
        <v>-54.581000000000003</v>
      </c>
      <c r="E114" s="29">
        <v>-46.064999999999998</v>
      </c>
      <c r="F114" s="29">
        <f>F137-F139</f>
        <v>-34.801818000000004</v>
      </c>
    </row>
    <row r="115" spans="1:6" ht="15.75" customHeight="1" x14ac:dyDescent="0.2">
      <c r="A115" s="5" t="s">
        <v>333</v>
      </c>
      <c r="B115" s="32">
        <v>3.198</v>
      </c>
      <c r="C115" s="32">
        <v>6.2560000000000002</v>
      </c>
      <c r="D115" s="32">
        <v>10.695</v>
      </c>
      <c r="E115" s="32">
        <v>10.542</v>
      </c>
      <c r="F115" s="32">
        <f>F124</f>
        <v>21.670053000000003</v>
      </c>
    </row>
    <row r="116" spans="1:6" ht="15.75" customHeight="1" x14ac:dyDescent="0.2">
      <c r="A116" s="3" t="s">
        <v>297</v>
      </c>
      <c r="B116" s="29">
        <v>-0.14099999999999999</v>
      </c>
      <c r="C116" s="29">
        <v>-4.9000000000000002E-2</v>
      </c>
      <c r="D116" s="29">
        <v>-1.105</v>
      </c>
      <c r="E116" s="29">
        <v>-1.25</v>
      </c>
      <c r="F116" s="29">
        <v>0</v>
      </c>
    </row>
    <row r="117" spans="1:6" ht="15.75" customHeight="1" x14ac:dyDescent="0.2">
      <c r="A117" s="5" t="s">
        <v>334</v>
      </c>
      <c r="B117" s="32">
        <v>-5.7000000000000002E-2</v>
      </c>
      <c r="C117" s="32">
        <v>3.847</v>
      </c>
      <c r="D117" s="32">
        <v>0.29899999999999999</v>
      </c>
      <c r="E117" s="32">
        <v>0.26700000000000002</v>
      </c>
      <c r="F117" s="32">
        <v>0</v>
      </c>
    </row>
    <row r="118" spans="1:6" ht="15.75" customHeight="1" x14ac:dyDescent="0.2">
      <c r="A118" s="3" t="s">
        <v>335</v>
      </c>
      <c r="B118" s="29">
        <v>-48.195999999999998</v>
      </c>
      <c r="C118" s="29">
        <v>-92.486000000000004</v>
      </c>
      <c r="D118" s="29">
        <v>38.110999999999997</v>
      </c>
      <c r="E118" s="29">
        <v>-13.034000000000001</v>
      </c>
      <c r="F118" s="29">
        <v>0</v>
      </c>
    </row>
    <row r="119" spans="1:6" ht="15.75" customHeight="1" x14ac:dyDescent="0.2">
      <c r="A119" s="5" t="s">
        <v>336</v>
      </c>
      <c r="B119" s="32">
        <f>SUM(B110:B118)</f>
        <v>387.24899999999991</v>
      </c>
      <c r="C119" s="32">
        <f>SUM(C110:C118)</f>
        <v>286.83000000000004</v>
      </c>
      <c r="D119" s="32">
        <f>SUM(D110:D118)</f>
        <v>315.16299999999995</v>
      </c>
      <c r="E119" s="32">
        <f>SUM(E110:E118)</f>
        <v>304.21999999999991</v>
      </c>
      <c r="F119" s="32">
        <f>SUM(F110:F118)</f>
        <v>329.96685949999988</v>
      </c>
    </row>
    <row r="120" spans="1:6" ht="3.75" customHeight="1" x14ac:dyDescent="0.2">
      <c r="B120" s="33"/>
      <c r="C120" s="33"/>
      <c r="D120" s="33"/>
      <c r="E120" s="33"/>
      <c r="F120" s="33"/>
    </row>
    <row r="121" spans="1:6" ht="15.75" customHeight="1" x14ac:dyDescent="0.2">
      <c r="A121" s="3" t="s">
        <v>337</v>
      </c>
      <c r="B121" s="29">
        <v>697.2</v>
      </c>
      <c r="C121" s="29">
        <v>678</v>
      </c>
      <c r="D121" s="29">
        <v>551.66200000000003</v>
      </c>
      <c r="E121" s="29">
        <f>D133</f>
        <v>613.31799999999998</v>
      </c>
      <c r="F121" s="29">
        <f>E133</f>
        <v>637.35450000000003</v>
      </c>
    </row>
    <row r="122" spans="1:6" ht="15.75" customHeight="1" x14ac:dyDescent="0.2">
      <c r="A122" s="5" t="s">
        <v>329</v>
      </c>
      <c r="B122" s="32">
        <v>0</v>
      </c>
      <c r="C122" s="32">
        <v>0</v>
      </c>
      <c r="D122" s="32">
        <v>0</v>
      </c>
      <c r="E122" s="32">
        <v>0</v>
      </c>
      <c r="F122" s="32">
        <v>0</v>
      </c>
    </row>
    <row r="123" spans="1:6" ht="15.75" customHeight="1" x14ac:dyDescent="0.2">
      <c r="A123" s="3" t="s">
        <v>338</v>
      </c>
      <c r="B123" s="29">
        <v>43.640999999999998</v>
      </c>
      <c r="C123" s="29">
        <v>40.518999999999998</v>
      </c>
      <c r="D123" s="29">
        <v>34.104999999999997</v>
      </c>
      <c r="E123" s="29">
        <v>37.612000000000002</v>
      </c>
      <c r="F123" s="29">
        <f>F121*F151</f>
        <v>38.878624500000001</v>
      </c>
    </row>
    <row r="124" spans="1:6" ht="15.75" customHeight="1" x14ac:dyDescent="0.2">
      <c r="A124" s="5" t="s">
        <v>339</v>
      </c>
      <c r="B124" s="32">
        <v>5.9039999999999999</v>
      </c>
      <c r="C124" s="32">
        <v>9.6479999999999997</v>
      </c>
      <c r="D124" s="32">
        <v>20.574999999999999</v>
      </c>
      <c r="E124" s="32">
        <v>20.866</v>
      </c>
      <c r="F124" s="32">
        <f>F121*F152</f>
        <v>21.670053000000003</v>
      </c>
    </row>
    <row r="125" spans="1:6" ht="15.75" customHeight="1" x14ac:dyDescent="0.2">
      <c r="A125" s="3" t="s">
        <v>340</v>
      </c>
      <c r="B125" s="29">
        <v>0.84299999999999997</v>
      </c>
      <c r="C125" s="29">
        <v>1.089</v>
      </c>
      <c r="D125" s="29">
        <v>1.01</v>
      </c>
      <c r="E125" s="29">
        <v>0.95899999999999996</v>
      </c>
      <c r="F125" s="29">
        <v>0</v>
      </c>
    </row>
    <row r="126" spans="1:6" ht="15.75" customHeight="1" x14ac:dyDescent="0.2">
      <c r="A126" s="5" t="s">
        <v>341</v>
      </c>
      <c r="B126" s="32">
        <v>-0.83099999999999996</v>
      </c>
      <c r="C126" s="32">
        <v>-1.615</v>
      </c>
      <c r="D126" s="32">
        <v>1.5109999999999999</v>
      </c>
      <c r="E126" s="32">
        <v>0.46</v>
      </c>
      <c r="F126" s="32">
        <v>0</v>
      </c>
    </row>
    <row r="127" spans="1:6" ht="15.75" customHeight="1" x14ac:dyDescent="0.2">
      <c r="A127" s="3" t="s">
        <v>342</v>
      </c>
      <c r="B127" s="29">
        <v>-37.337000000000003</v>
      </c>
      <c r="C127" s="29">
        <v>-178.215</v>
      </c>
      <c r="D127" s="29">
        <v>40.780999999999999</v>
      </c>
      <c r="E127" s="29">
        <v>-1.1200000000000001</v>
      </c>
      <c r="F127" s="29">
        <v>0</v>
      </c>
    </row>
    <row r="128" spans="1:6" ht="15.75" customHeight="1" x14ac:dyDescent="0.2">
      <c r="A128" s="5" t="s">
        <v>343</v>
      </c>
      <c r="B128" s="32">
        <v>0.72299999999999998</v>
      </c>
      <c r="C128" s="32">
        <v>40.444000000000003</v>
      </c>
      <c r="D128" s="32">
        <v>2.8740000000000001</v>
      </c>
      <c r="E128" s="32">
        <v>-0.88100000000000001</v>
      </c>
      <c r="F128" s="32">
        <v>0</v>
      </c>
    </row>
    <row r="129" spans="1:6" ht="15.75" customHeight="1" x14ac:dyDescent="0.2">
      <c r="A129" s="3" t="s">
        <v>344</v>
      </c>
      <c r="B129" s="29">
        <v>-30.536999999999999</v>
      </c>
      <c r="C129" s="29">
        <v>-35.31</v>
      </c>
      <c r="D129" s="29">
        <v>-33.61</v>
      </c>
      <c r="E129" s="29">
        <v>-30.372</v>
      </c>
      <c r="F129" s="29">
        <f>E129</f>
        <v>-30.372</v>
      </c>
    </row>
    <row r="130" spans="1:6" ht="15.75" customHeight="1" x14ac:dyDescent="0.2">
      <c r="A130" s="5" t="s">
        <v>345</v>
      </c>
      <c r="B130" s="32">
        <v>-2.4790000000000001</v>
      </c>
      <c r="C130" s="32">
        <v>-3.7650000000000001</v>
      </c>
      <c r="D130" s="32">
        <v>-4.2699999999999996</v>
      </c>
      <c r="E130" s="32">
        <v>-3.15</v>
      </c>
      <c r="F130" s="32">
        <v>0</v>
      </c>
    </row>
    <row r="131" spans="1:6" ht="15.75" customHeight="1" x14ac:dyDescent="0.2">
      <c r="A131" s="3" t="s">
        <v>346</v>
      </c>
      <c r="B131" s="29">
        <v>0</v>
      </c>
      <c r="C131" s="29">
        <v>0</v>
      </c>
      <c r="D131" s="29">
        <v>0</v>
      </c>
      <c r="E131" s="29">
        <v>0</v>
      </c>
      <c r="F131" s="29">
        <v>0</v>
      </c>
    </row>
    <row r="132" spans="1:6" ht="15.75" customHeight="1" x14ac:dyDescent="0.2">
      <c r="A132" s="5" t="s">
        <v>347</v>
      </c>
      <c r="B132" s="32">
        <v>0.81799999999999995</v>
      </c>
      <c r="C132" s="32">
        <v>0.9</v>
      </c>
      <c r="D132" s="32">
        <v>-1.32</v>
      </c>
      <c r="E132" s="32">
        <v>-0.33750000000000002</v>
      </c>
      <c r="F132" s="32">
        <v>0</v>
      </c>
    </row>
    <row r="133" spans="1:6" ht="15.75" customHeight="1" x14ac:dyDescent="0.2">
      <c r="A133" s="3" t="s">
        <v>348</v>
      </c>
      <c r="B133" s="29">
        <f>SUM(B121:B132)</f>
        <v>677.94499999999982</v>
      </c>
      <c r="C133" s="29">
        <f>SUM(C121:C132)</f>
        <v>551.69499999999994</v>
      </c>
      <c r="D133" s="29">
        <f>SUM(D121:D132)</f>
        <v>613.31799999999998</v>
      </c>
      <c r="E133" s="29">
        <f>SUM(E121:E132)</f>
        <v>637.35450000000003</v>
      </c>
      <c r="F133" s="29">
        <f>SUM(F121:F132)</f>
        <v>667.53117750000013</v>
      </c>
    </row>
    <row r="134" spans="1:6" ht="3.75" customHeight="1" x14ac:dyDescent="0.2">
      <c r="B134" s="33"/>
      <c r="C134" s="33"/>
      <c r="D134" s="33"/>
      <c r="E134" s="33"/>
      <c r="F134" s="33"/>
    </row>
    <row r="135" spans="1:6" ht="15.75" customHeight="1" x14ac:dyDescent="0.2">
      <c r="A135" s="5" t="s">
        <v>349</v>
      </c>
      <c r="B135" s="32">
        <v>271.7</v>
      </c>
      <c r="C135" s="32">
        <v>291.5</v>
      </c>
      <c r="D135" s="32">
        <v>269.97199999999998</v>
      </c>
      <c r="E135" s="32">
        <f>D145</f>
        <v>299.4009999999999</v>
      </c>
      <c r="F135" s="32">
        <f>E145</f>
        <v>331.52199999999988</v>
      </c>
    </row>
    <row r="136" spans="1:6" ht="15.75" customHeight="1" x14ac:dyDescent="0.2">
      <c r="A136" s="3" t="s">
        <v>329</v>
      </c>
      <c r="B136" s="29">
        <v>0</v>
      </c>
      <c r="C136" s="29">
        <v>0</v>
      </c>
      <c r="D136" s="29">
        <v>0</v>
      </c>
      <c r="E136" s="29">
        <v>0</v>
      </c>
      <c r="F136" s="29">
        <v>0</v>
      </c>
    </row>
    <row r="137" spans="1:6" ht="15.75" customHeight="1" x14ac:dyDescent="0.2">
      <c r="A137" s="5" t="s">
        <v>350</v>
      </c>
      <c r="B137" s="32">
        <v>2.069</v>
      </c>
      <c r="C137" s="32">
        <v>3.3919999999999999</v>
      </c>
      <c r="D137" s="32">
        <v>9.7260000000000009</v>
      </c>
      <c r="E137" s="32">
        <v>9.9019999999999992</v>
      </c>
      <c r="F137" s="32">
        <f>F135*F153</f>
        <v>10.277181999999996</v>
      </c>
    </row>
    <row r="138" spans="1:6" ht="15.75" customHeight="1" x14ac:dyDescent="0.2">
      <c r="A138" s="3" t="s">
        <v>351</v>
      </c>
      <c r="B138" s="29">
        <v>11.670999999999999</v>
      </c>
      <c r="C138" s="29">
        <v>-42.085999999999999</v>
      </c>
      <c r="D138" s="29">
        <v>7.8949999999999996</v>
      </c>
      <c r="E138" s="29">
        <v>11.875</v>
      </c>
      <c r="F138" s="29">
        <v>0</v>
      </c>
    </row>
    <row r="139" spans="1:6" ht="15.75" customHeight="1" x14ac:dyDescent="0.2">
      <c r="A139" s="5" t="s">
        <v>352</v>
      </c>
      <c r="B139" s="32">
        <v>37.35</v>
      </c>
      <c r="C139" s="32">
        <v>54.38</v>
      </c>
      <c r="D139" s="32">
        <v>53.438000000000002</v>
      </c>
      <c r="E139" s="32">
        <v>45.079000000000001</v>
      </c>
      <c r="F139" s="32">
        <f>E139</f>
        <v>45.079000000000001</v>
      </c>
    </row>
    <row r="140" spans="1:6" ht="15.75" customHeight="1" x14ac:dyDescent="0.2">
      <c r="A140" s="3" t="s">
        <v>353</v>
      </c>
      <c r="B140" s="29">
        <v>0.84299999999999997</v>
      </c>
      <c r="C140" s="29">
        <v>1.089</v>
      </c>
      <c r="D140" s="29">
        <v>1.01</v>
      </c>
      <c r="E140" s="29">
        <v>0.95899999999999996</v>
      </c>
      <c r="F140" s="29">
        <v>0</v>
      </c>
    </row>
    <row r="141" spans="1:6" ht="15.75" customHeight="1" x14ac:dyDescent="0.2">
      <c r="A141" s="5" t="s">
        <v>344</v>
      </c>
      <c r="B141" s="32">
        <v>-30.536999999999999</v>
      </c>
      <c r="C141" s="32">
        <v>-35.31</v>
      </c>
      <c r="D141" s="32">
        <v>-33.61</v>
      </c>
      <c r="E141" s="32">
        <v>-30.372</v>
      </c>
      <c r="F141" s="32">
        <f>E141</f>
        <v>-30.372</v>
      </c>
    </row>
    <row r="142" spans="1:6" ht="15.75" customHeight="1" x14ac:dyDescent="0.2">
      <c r="A142" s="3" t="s">
        <v>345</v>
      </c>
      <c r="B142" s="29">
        <v>-2.5339999999999998</v>
      </c>
      <c r="C142" s="29">
        <v>-3.8250000000000002</v>
      </c>
      <c r="D142" s="29">
        <v>-4.3360000000000003</v>
      </c>
      <c r="E142" s="29">
        <v>-3.2189999999999999</v>
      </c>
      <c r="F142" s="29">
        <v>0</v>
      </c>
    </row>
    <row r="143" spans="1:6" ht="15.75" customHeight="1" x14ac:dyDescent="0.2">
      <c r="A143" s="5" t="s">
        <v>354</v>
      </c>
      <c r="B143" s="32">
        <v>0</v>
      </c>
      <c r="C143" s="32">
        <v>0</v>
      </c>
      <c r="D143" s="32">
        <v>-4.3650000000000002</v>
      </c>
      <c r="E143" s="32">
        <v>5.7000000000000002E-2</v>
      </c>
      <c r="F143" s="32">
        <v>0</v>
      </c>
    </row>
    <row r="144" spans="1:6" ht="15.75" customHeight="1" x14ac:dyDescent="0.2">
      <c r="A144" s="3" t="s">
        <v>355</v>
      </c>
      <c r="B144" s="29">
        <v>0.92700000000000005</v>
      </c>
      <c r="C144" s="29">
        <v>0.85299999999999998</v>
      </c>
      <c r="D144" s="29">
        <v>-0.32900000000000001</v>
      </c>
      <c r="E144" s="29">
        <v>-2.16</v>
      </c>
      <c r="F144" s="29">
        <v>0</v>
      </c>
    </row>
    <row r="145" spans="1:6" ht="15.75" customHeight="1" x14ac:dyDescent="0.2">
      <c r="A145" s="5" t="s">
        <v>356</v>
      </c>
      <c r="B145" s="32">
        <f>SUM(B135:B144)</f>
        <v>291.48900000000009</v>
      </c>
      <c r="C145" s="32">
        <f>SUM(C135:C144)</f>
        <v>269.99299999999999</v>
      </c>
      <c r="D145" s="32">
        <f>SUM(D135:D144)</f>
        <v>299.4009999999999</v>
      </c>
      <c r="E145" s="32">
        <f>SUM(E135:E144)</f>
        <v>331.52199999999988</v>
      </c>
      <c r="F145" s="32">
        <f>SUM(F135:F144)</f>
        <v>356.50618199999985</v>
      </c>
    </row>
    <row r="146" spans="1:6" ht="3.75" customHeight="1" x14ac:dyDescent="0.2">
      <c r="B146" s="33"/>
      <c r="C146" s="33"/>
      <c r="D146" s="33"/>
      <c r="E146" s="33"/>
      <c r="F146" s="33"/>
    </row>
    <row r="147" spans="1:6" ht="15.75" customHeight="1" x14ac:dyDescent="0.2">
      <c r="A147" s="3" t="s">
        <v>357</v>
      </c>
      <c r="B147" s="29">
        <f>B133</f>
        <v>677.94499999999982</v>
      </c>
      <c r="C147" s="29">
        <f>C133</f>
        <v>551.69499999999994</v>
      </c>
      <c r="D147" s="29">
        <f>D133</f>
        <v>613.31799999999998</v>
      </c>
      <c r="E147" s="29">
        <f>E133</f>
        <v>637.35450000000003</v>
      </c>
      <c r="F147" s="29">
        <f>F133</f>
        <v>667.53117750000013</v>
      </c>
    </row>
    <row r="148" spans="1:6" ht="15.75" customHeight="1" x14ac:dyDescent="0.2">
      <c r="A148" s="5" t="s">
        <v>358</v>
      </c>
      <c r="B148" s="32">
        <f>B145</f>
        <v>291.48900000000009</v>
      </c>
      <c r="C148" s="32">
        <f>C145</f>
        <v>269.99299999999999</v>
      </c>
      <c r="D148" s="32">
        <f>D145</f>
        <v>299.4009999999999</v>
      </c>
      <c r="E148" s="32">
        <f>E145</f>
        <v>331.52199999999988</v>
      </c>
      <c r="F148" s="32">
        <f>F145</f>
        <v>356.50618199999985</v>
      </c>
    </row>
    <row r="149" spans="1:6" ht="15.75" customHeight="1" x14ac:dyDescent="0.2">
      <c r="A149" s="3" t="s">
        <v>359</v>
      </c>
      <c r="B149" s="29">
        <f>B147-B148</f>
        <v>386.45599999999973</v>
      </c>
      <c r="C149" s="29">
        <f>C147-C148</f>
        <v>281.70199999999994</v>
      </c>
      <c r="D149" s="29">
        <f>D147-D148</f>
        <v>313.91700000000009</v>
      </c>
      <c r="E149" s="29">
        <f>E147-E148</f>
        <v>305.83250000000015</v>
      </c>
      <c r="F149" s="29">
        <f>F147-F148</f>
        <v>311.02499550000027</v>
      </c>
    </row>
    <row r="150" spans="1:6" ht="3.75" customHeight="1" x14ac:dyDescent="0.2">
      <c r="B150" s="33"/>
      <c r="C150" s="33"/>
      <c r="D150" s="33"/>
      <c r="E150" s="33"/>
      <c r="F150" s="33"/>
    </row>
    <row r="151" spans="1:6" ht="15.75" customHeight="1" x14ac:dyDescent="0.2">
      <c r="A151" s="5" t="s">
        <v>360</v>
      </c>
      <c r="B151" s="30">
        <f>B123/B121</f>
        <v>6.2594664371772801E-2</v>
      </c>
      <c r="C151" s="30">
        <f>C123/C121</f>
        <v>5.9762536873156337E-2</v>
      </c>
      <c r="D151" s="30">
        <f>D123/D121</f>
        <v>6.182227523374819E-2</v>
      </c>
      <c r="E151" s="30">
        <f>E123/E121</f>
        <v>6.1325446179632759E-2</v>
      </c>
      <c r="F151" s="30">
        <v>6.0999999999999999E-2</v>
      </c>
    </row>
    <row r="152" spans="1:6" ht="15.75" customHeight="1" x14ac:dyDescent="0.2">
      <c r="A152" s="3" t="s">
        <v>361</v>
      </c>
      <c r="B152" s="31">
        <f>B124/B121</f>
        <v>8.4681583476764188E-3</v>
      </c>
      <c r="C152" s="31">
        <f>C124/C121</f>
        <v>1.4230088495575222E-2</v>
      </c>
      <c r="D152" s="31">
        <f>D124/D121</f>
        <v>3.7296388005699135E-2</v>
      </c>
      <c r="E152" s="31">
        <f>E124/E121</f>
        <v>3.4021502711480828E-2</v>
      </c>
      <c r="F152" s="31">
        <v>3.4000000000000002E-2</v>
      </c>
    </row>
    <row r="153" spans="1:6" ht="15.75" customHeight="1" x14ac:dyDescent="0.2">
      <c r="A153" s="5" t="s">
        <v>362</v>
      </c>
      <c r="B153" s="30">
        <f>B137/B135</f>
        <v>7.6150165623849837E-3</v>
      </c>
      <c r="C153" s="30">
        <f>C137/C135</f>
        <v>1.1636363636363636E-2</v>
      </c>
      <c r="D153" s="30">
        <f>D137/D135</f>
        <v>3.6025958247521972E-2</v>
      </c>
      <c r="E153" s="30">
        <f>E137/E135</f>
        <v>3.3072701827983213E-2</v>
      </c>
      <c r="F153" s="30">
        <v>3.1E-2</v>
      </c>
    </row>
    <row r="154" spans="1:6" ht="3.75" customHeight="1" x14ac:dyDescent="0.2">
      <c r="B154" s="33"/>
      <c r="C154" s="33"/>
      <c r="D154" s="33"/>
      <c r="E154" s="33"/>
      <c r="F154" s="33"/>
    </row>
    <row r="155" spans="1:6" ht="15.75" customHeight="1" x14ac:dyDescent="0.2">
      <c r="A155" s="20" t="s">
        <v>363</v>
      </c>
      <c r="B155" s="21"/>
      <c r="C155" s="21"/>
      <c r="D155" s="21"/>
      <c r="E155" s="21"/>
      <c r="F155" s="21"/>
    </row>
    <row r="156" spans="1:6" ht="15.75" customHeight="1" x14ac:dyDescent="0.2">
      <c r="A156" s="3" t="s">
        <v>328</v>
      </c>
      <c r="B156" s="29">
        <v>121.373</v>
      </c>
      <c r="C156" s="29">
        <v>130.614</v>
      </c>
      <c r="D156" s="29">
        <v>139.35599999999999</v>
      </c>
      <c r="E156" s="29">
        <f>D164</f>
        <v>140.79999999999998</v>
      </c>
      <c r="F156" s="29">
        <f>E166</f>
        <v>128.45499999999998</v>
      </c>
    </row>
    <row r="157" spans="1:6" ht="15.75" customHeight="1" x14ac:dyDescent="0.2">
      <c r="A157" s="5" t="s">
        <v>329</v>
      </c>
      <c r="B157" s="32">
        <v>0</v>
      </c>
      <c r="C157" s="32">
        <v>0</v>
      </c>
      <c r="D157" s="32">
        <v>0</v>
      </c>
      <c r="E157" s="32">
        <v>0</v>
      </c>
      <c r="F157" s="32">
        <v>0</v>
      </c>
    </row>
    <row r="158" spans="1:6" ht="15.75" customHeight="1" x14ac:dyDescent="0.2">
      <c r="A158" s="3" t="s">
        <v>303</v>
      </c>
      <c r="B158" s="29">
        <v>0</v>
      </c>
      <c r="C158" s="29">
        <v>0</v>
      </c>
      <c r="D158" s="29">
        <v>0</v>
      </c>
      <c r="E158" s="29">
        <v>0</v>
      </c>
      <c r="F158" s="29">
        <v>0</v>
      </c>
    </row>
    <row r="159" spans="1:6" ht="15.75" customHeight="1" x14ac:dyDescent="0.2">
      <c r="A159" s="5" t="s">
        <v>330</v>
      </c>
      <c r="B159" s="32">
        <v>73.367000000000004</v>
      </c>
      <c r="C159" s="32">
        <v>53.252000000000002</v>
      </c>
      <c r="D159" s="32">
        <v>34.421999999999997</v>
      </c>
      <c r="E159" s="32">
        <v>42.134999999999998</v>
      </c>
      <c r="F159" s="32">
        <f>F156*F168</f>
        <v>19.268249999999998</v>
      </c>
    </row>
    <row r="160" spans="1:6" ht="15.75" customHeight="1" x14ac:dyDescent="0.2">
      <c r="A160" s="3" t="s">
        <v>331</v>
      </c>
      <c r="B160" s="29">
        <v>-0.63</v>
      </c>
      <c r="C160" s="29">
        <v>-9.141</v>
      </c>
      <c r="D160" s="29">
        <v>-3.7290000000000001</v>
      </c>
      <c r="E160" s="29">
        <v>-5</v>
      </c>
      <c r="F160" s="29">
        <v>0</v>
      </c>
    </row>
    <row r="161" spans="1:6" ht="15.75" customHeight="1" x14ac:dyDescent="0.2">
      <c r="A161" s="5" t="s">
        <v>332</v>
      </c>
      <c r="B161" s="32">
        <v>-63.6</v>
      </c>
      <c r="C161" s="32">
        <v>-35.857999999999997</v>
      </c>
      <c r="D161" s="32">
        <v>-31.593</v>
      </c>
      <c r="E161" s="32">
        <v>-29.11</v>
      </c>
      <c r="F161" s="32">
        <f>F156*F169</f>
        <v>12.845499999999999</v>
      </c>
    </row>
    <row r="162" spans="1:6" ht="15.75" customHeight="1" x14ac:dyDescent="0.2">
      <c r="A162" s="3" t="s">
        <v>364</v>
      </c>
      <c r="B162" s="29">
        <v>-0.152</v>
      </c>
      <c r="C162" s="29">
        <v>-0.20899999999999999</v>
      </c>
      <c r="D162" s="29">
        <v>0.19500000000000001</v>
      </c>
      <c r="E162" s="29">
        <v>-8.5000000000000006E-2</v>
      </c>
      <c r="F162" s="29">
        <v>0</v>
      </c>
    </row>
    <row r="163" spans="1:6" ht="15.75" customHeight="1" x14ac:dyDescent="0.2">
      <c r="A163" s="5" t="s">
        <v>297</v>
      </c>
      <c r="B163" s="32">
        <v>0.25600000000000001</v>
      </c>
      <c r="C163" s="32">
        <v>0.69799999999999995</v>
      </c>
      <c r="D163" s="32">
        <v>2.149</v>
      </c>
      <c r="E163" s="32">
        <v>-0.437</v>
      </c>
      <c r="F163" s="32">
        <v>0</v>
      </c>
    </row>
    <row r="164" spans="1:6" ht="15.75" customHeight="1" x14ac:dyDescent="0.2">
      <c r="A164" s="3" t="s">
        <v>336</v>
      </c>
      <c r="B164" s="29">
        <f>SUM(B156:B163)</f>
        <v>130.61400000000003</v>
      </c>
      <c r="C164" s="29">
        <f>SUM(C156:C163)</f>
        <v>139.35600000000002</v>
      </c>
      <c r="D164" s="29">
        <f>SUM(D156:D163)</f>
        <v>140.79999999999998</v>
      </c>
      <c r="E164" s="29">
        <f>SUM(E156:E163)</f>
        <v>148.30299999999997</v>
      </c>
      <c r="F164" s="29">
        <f>SUM(F156:F163)</f>
        <v>160.56874999999997</v>
      </c>
    </row>
    <row r="165" spans="1:6" ht="15.75" customHeight="1" x14ac:dyDescent="0.2">
      <c r="A165" s="5" t="s">
        <v>365</v>
      </c>
      <c r="B165" s="32">
        <v>13.222</v>
      </c>
      <c r="C165" s="32">
        <v>20.164999999999999</v>
      </c>
      <c r="D165" s="32">
        <v>26.36</v>
      </c>
      <c r="E165" s="32">
        <v>19.847999999999999</v>
      </c>
      <c r="F165" s="32">
        <v>19.847999999999999</v>
      </c>
    </row>
    <row r="166" spans="1:6" ht="15.75" customHeight="1" x14ac:dyDescent="0.2">
      <c r="A166" s="3" t="s">
        <v>366</v>
      </c>
      <c r="B166" s="29">
        <f>B164-B165</f>
        <v>117.39200000000004</v>
      </c>
      <c r="C166" s="29">
        <f>C164-C165</f>
        <v>119.19100000000003</v>
      </c>
      <c r="D166" s="29">
        <f>D164-D165</f>
        <v>114.43999999999998</v>
      </c>
      <c r="E166" s="29">
        <f>E164-E165</f>
        <v>128.45499999999998</v>
      </c>
      <c r="F166" s="29">
        <f>F164-F165</f>
        <v>140.72074999999995</v>
      </c>
    </row>
    <row r="167" spans="1:6" ht="3.75" customHeight="1" x14ac:dyDescent="0.2">
      <c r="B167" s="33"/>
      <c r="C167" s="33"/>
      <c r="D167" s="33"/>
      <c r="E167" s="33"/>
      <c r="F167" s="33"/>
    </row>
    <row r="168" spans="1:6" ht="15.75" customHeight="1" x14ac:dyDescent="0.2">
      <c r="A168" s="5" t="s">
        <v>367</v>
      </c>
      <c r="B168" s="30">
        <f>B159/B156</f>
        <v>0.604475459945787</v>
      </c>
      <c r="C168" s="30">
        <f>C159/C156</f>
        <v>0.40770514646209444</v>
      </c>
      <c r="D168" s="30">
        <f>D159/D156</f>
        <v>0.24700766382502368</v>
      </c>
      <c r="E168" s="30">
        <f>E159/E156</f>
        <v>0.29925426136363636</v>
      </c>
      <c r="F168" s="30">
        <v>0.15</v>
      </c>
    </row>
    <row r="169" spans="1:6" ht="15.75" customHeight="1" x14ac:dyDescent="0.2">
      <c r="A169" s="3" t="s">
        <v>368</v>
      </c>
      <c r="B169" s="31">
        <f>B161/B156*-1</f>
        <v>0.52400451500745637</v>
      </c>
      <c r="C169" s="31">
        <f>C161/C156*-1</f>
        <v>0.27453412344771616</v>
      </c>
      <c r="D169" s="31">
        <f>D161/D156*-1</f>
        <v>0.22670713855162319</v>
      </c>
      <c r="E169" s="31">
        <f>E161/E156*-1</f>
        <v>0.2067471590909091</v>
      </c>
      <c r="F169" s="31">
        <v>0.1</v>
      </c>
    </row>
    <row r="170" spans="1:6" ht="3.75" customHeight="1" x14ac:dyDescent="0.2">
      <c r="B170" s="33"/>
      <c r="C170" s="33"/>
      <c r="D170" s="33"/>
      <c r="E170" s="33"/>
      <c r="F170" s="33"/>
    </row>
    <row r="171" spans="1:6" ht="15.75" customHeight="1" x14ac:dyDescent="0.2">
      <c r="A171" s="20" t="s">
        <v>369</v>
      </c>
      <c r="B171" s="21"/>
      <c r="C171" s="21"/>
      <c r="D171" s="21"/>
      <c r="E171" s="21"/>
      <c r="F171" s="21"/>
    </row>
    <row r="172" spans="1:6" ht="15.75" customHeight="1" x14ac:dyDescent="0.2">
      <c r="A172" s="3" t="s">
        <v>328</v>
      </c>
      <c r="B172" s="29">
        <v>120.958</v>
      </c>
      <c r="C172" s="29">
        <v>128.14699999999999</v>
      </c>
      <c r="D172" s="29">
        <v>156.97200000000001</v>
      </c>
      <c r="E172" s="29">
        <f>D181</f>
        <v>126.42000000000002</v>
      </c>
      <c r="F172" s="29">
        <f>E181</f>
        <v>286.66200000000003</v>
      </c>
    </row>
    <row r="173" spans="1:6" ht="15.75" customHeight="1" x14ac:dyDescent="0.2">
      <c r="A173" s="5" t="s">
        <v>329</v>
      </c>
      <c r="B173" s="32">
        <v>0</v>
      </c>
      <c r="C173" s="32">
        <v>0</v>
      </c>
      <c r="D173" s="32">
        <v>0</v>
      </c>
      <c r="E173" s="32">
        <v>0</v>
      </c>
      <c r="F173" s="32">
        <v>0</v>
      </c>
    </row>
    <row r="174" spans="1:6" ht="15.75" customHeight="1" x14ac:dyDescent="0.2">
      <c r="A174" s="3" t="s">
        <v>330</v>
      </c>
      <c r="B174" s="29">
        <v>55.625999999999998</v>
      </c>
      <c r="C174" s="29">
        <v>49.601999999999997</v>
      </c>
      <c r="D174" s="29">
        <v>30.928999999999998</v>
      </c>
      <c r="E174" s="29">
        <v>220.59</v>
      </c>
      <c r="F174" s="29"/>
    </row>
    <row r="175" spans="1:6" ht="15.75" customHeight="1" x14ac:dyDescent="0.2">
      <c r="A175" s="5" t="s">
        <v>331</v>
      </c>
      <c r="B175" s="32">
        <v>-22.045000000000002</v>
      </c>
      <c r="C175" s="32">
        <v>-5.306</v>
      </c>
      <c r="D175" s="32">
        <v>-43.19</v>
      </c>
      <c r="E175" s="32">
        <v>-33.972000000000001</v>
      </c>
      <c r="F175" s="32"/>
    </row>
    <row r="176" spans="1:6" ht="15.75" customHeight="1" x14ac:dyDescent="0.2">
      <c r="A176" s="3" t="s">
        <v>332</v>
      </c>
      <c r="B176" s="29">
        <v>-29.184999999999999</v>
      </c>
      <c r="C176" s="29">
        <v>-16.606999999999999</v>
      </c>
      <c r="D176" s="29">
        <v>-10.832000000000001</v>
      </c>
      <c r="E176" s="29">
        <v>-20.983000000000001</v>
      </c>
      <c r="F176" s="29"/>
    </row>
    <row r="177" spans="1:6" ht="15.75" customHeight="1" x14ac:dyDescent="0.2">
      <c r="A177" s="5" t="s">
        <v>364</v>
      </c>
      <c r="B177" s="32">
        <v>0</v>
      </c>
      <c r="C177" s="32">
        <v>0</v>
      </c>
      <c r="D177" s="32">
        <v>-2.1320000000000001</v>
      </c>
      <c r="E177" s="32">
        <v>-1.0389999999999999</v>
      </c>
      <c r="F177" s="32"/>
    </row>
    <row r="178" spans="1:6" ht="15.75" customHeight="1" x14ac:dyDescent="0.2">
      <c r="A178" s="3" t="s">
        <v>297</v>
      </c>
      <c r="B178" s="29">
        <v>1.984</v>
      </c>
      <c r="C178" s="29">
        <v>1.1359999999999999</v>
      </c>
      <c r="D178" s="29">
        <v>-5.327</v>
      </c>
      <c r="E178" s="29">
        <v>-2.82</v>
      </c>
      <c r="F178" s="29"/>
    </row>
    <row r="179" spans="1:6" ht="15.75" customHeight="1" x14ac:dyDescent="0.2">
      <c r="A179" s="5" t="s">
        <v>334</v>
      </c>
      <c r="B179" s="32">
        <v>-1.4E-2</v>
      </c>
      <c r="C179" s="32">
        <v>0</v>
      </c>
      <c r="D179" s="32">
        <v>0</v>
      </c>
      <c r="E179" s="32">
        <v>0</v>
      </c>
      <c r="F179" s="32"/>
    </row>
    <row r="180" spans="1:6" ht="15.75" customHeight="1" x14ac:dyDescent="0.2">
      <c r="A180" s="3" t="s">
        <v>109</v>
      </c>
      <c r="B180" s="29">
        <v>0.82299999999999995</v>
      </c>
      <c r="C180" s="29">
        <v>0</v>
      </c>
      <c r="D180" s="29">
        <v>0</v>
      </c>
      <c r="E180" s="29">
        <v>-1.534</v>
      </c>
      <c r="F180" s="29"/>
    </row>
    <row r="181" spans="1:6" ht="15.75" customHeight="1" x14ac:dyDescent="0.2">
      <c r="A181" s="5" t="s">
        <v>336</v>
      </c>
      <c r="B181" s="32">
        <f>SUM(B172:B180)</f>
        <v>128.14699999999999</v>
      </c>
      <c r="C181" s="32">
        <f>SUM(C172:C180)</f>
        <v>156.97199999999998</v>
      </c>
      <c r="D181" s="32">
        <f>SUM(D172:D180)</f>
        <v>126.42000000000002</v>
      </c>
      <c r="E181" s="32">
        <f>SUM(E172:E180)</f>
        <v>286.66200000000003</v>
      </c>
      <c r="F181" s="32"/>
    </row>
    <row r="182" spans="1:6" ht="15.75" customHeight="1" x14ac:dyDescent="0.2">
      <c r="A182" s="3" t="s">
        <v>365</v>
      </c>
      <c r="B182" s="29">
        <v>30.044</v>
      </c>
      <c r="C182" s="29">
        <v>24.835000000000001</v>
      </c>
      <c r="D182" s="29">
        <v>26.68</v>
      </c>
      <c r="E182" s="29">
        <f>30.048</f>
        <v>30.047999999999998</v>
      </c>
      <c r="F182" s="29"/>
    </row>
    <row r="183" spans="1:6" ht="15.75" customHeight="1" x14ac:dyDescent="0.2">
      <c r="A183" s="5" t="s">
        <v>366</v>
      </c>
      <c r="B183" s="32">
        <f>B181-B182</f>
        <v>98.102999999999994</v>
      </c>
      <c r="C183" s="32">
        <f>C181-C182</f>
        <v>132.13699999999997</v>
      </c>
      <c r="D183" s="32">
        <f>D181-D182</f>
        <v>99.740000000000009</v>
      </c>
      <c r="E183" s="32">
        <f>E181-E182</f>
        <v>256.61400000000003</v>
      </c>
      <c r="F183" s="32"/>
    </row>
    <row r="184" spans="1:6" ht="3.75" customHeight="1" x14ac:dyDescent="0.2">
      <c r="B184" s="33"/>
      <c r="C184" s="33"/>
      <c r="D184" s="33"/>
      <c r="E184" s="33"/>
      <c r="F184" s="33"/>
    </row>
    <row r="185" spans="1:6" ht="3.75" customHeight="1" x14ac:dyDescent="0.2">
      <c r="B185" s="33"/>
      <c r="C185" s="33"/>
      <c r="D185" s="33"/>
      <c r="E185" s="33"/>
      <c r="F185" s="33"/>
    </row>
    <row r="186" spans="1:6" ht="15.75" customHeight="1" x14ac:dyDescent="0.2">
      <c r="A186" s="3" t="s">
        <v>367</v>
      </c>
      <c r="B186" s="31">
        <f>B174/B172</f>
        <v>0.45987863555945035</v>
      </c>
      <c r="C186" s="31">
        <f>C174/C172</f>
        <v>0.38707109803584944</v>
      </c>
      <c r="D186" s="31">
        <f>D174/D172</f>
        <v>0.19703514002497258</v>
      </c>
      <c r="E186" s="31">
        <f>E174/E172</f>
        <v>1.7448979591836733</v>
      </c>
      <c r="F186" s="31">
        <f>F174/F172</f>
        <v>0</v>
      </c>
    </row>
    <row r="187" spans="1:6" ht="15.75" customHeight="1" x14ac:dyDescent="0.2">
      <c r="A187" s="5" t="s">
        <v>368</v>
      </c>
      <c r="B187" s="30">
        <f>B176/B172</f>
        <v>-0.24128209791828567</v>
      </c>
      <c r="C187" s="30">
        <f>C176/C172</f>
        <v>-0.1295933576283487</v>
      </c>
      <c r="D187" s="30">
        <f>D176/D172</f>
        <v>-6.9005937364625541E-2</v>
      </c>
      <c r="E187" s="30">
        <f>E176/E172</f>
        <v>-0.16597848441702259</v>
      </c>
      <c r="F187" s="30">
        <f>F176/F172</f>
        <v>0</v>
      </c>
    </row>
    <row r="188" spans="1:6" ht="3.75" customHeight="1" x14ac:dyDescent="0.2">
      <c r="B188" s="33"/>
      <c r="C188" s="33"/>
      <c r="D188" s="33"/>
      <c r="E188" s="33"/>
      <c r="F188" s="33"/>
    </row>
    <row r="189" spans="1:6" ht="15.75" customHeight="1" x14ac:dyDescent="0.2">
      <c r="A189" s="20" t="s">
        <v>370</v>
      </c>
      <c r="B189" s="21"/>
      <c r="C189" s="21"/>
      <c r="D189" s="21"/>
      <c r="E189" s="21"/>
      <c r="F189" s="21"/>
    </row>
    <row r="190" spans="1:6" ht="15.75" customHeight="1" x14ac:dyDescent="0.2">
      <c r="A190" s="3" t="s">
        <v>371</v>
      </c>
      <c r="B190" s="29">
        <f>('Balance Sheet'!B23+'Balance Sheet'!B28)-'Balance Sheet'!B18</f>
        <v>960.44700000000012</v>
      </c>
      <c r="C190" s="29">
        <f>('Balance Sheet'!C23+'Balance Sheet'!C28)-'Balance Sheet'!C18</f>
        <v>1103.538</v>
      </c>
      <c r="D190" s="29">
        <f>('Balance Sheet'!D23+'Balance Sheet'!D28)-'Balance Sheet'!D18</f>
        <v>1232.6000000000004</v>
      </c>
      <c r="E190" s="29">
        <f>('Balance Sheet'!E23+'Balance Sheet'!E28)-'Balance Sheet'!E18</f>
        <v>1425</v>
      </c>
      <c r="F190" s="29">
        <v>1357</v>
      </c>
    </row>
    <row r="191" spans="1:6" ht="15.75" customHeight="1" x14ac:dyDescent="0.2">
      <c r="A191" s="20" t="s">
        <v>372</v>
      </c>
      <c r="B191" s="49">
        <f>B190/'P&amp;L'!B24</f>
        <v>0.76780784957970105</v>
      </c>
      <c r="C191" s="49">
        <f>C190/'P&amp;L'!C24</f>
        <v>0.95909202707788133</v>
      </c>
      <c r="D191" s="49">
        <f>D190/'P&amp;L'!D24</f>
        <v>1.2681069958847739</v>
      </c>
      <c r="E191" s="49">
        <f>E190/'P&amp;L'!E24</f>
        <v>1.8656716417910448</v>
      </c>
      <c r="F191" s="49">
        <f>F190/'P&amp;L'!F24</f>
        <v>1.6040189125295508</v>
      </c>
    </row>
    <row r="192" spans="1:6" ht="15.75" customHeight="1" x14ac:dyDescent="0.2">
      <c r="A192" s="3" t="s">
        <v>373</v>
      </c>
      <c r="B192" s="29">
        <f>B190+'Balance Sheet'!B22</f>
        <v>1347.6530000000002</v>
      </c>
      <c r="C192" s="29">
        <f>C190+'Balance Sheet'!C22</f>
        <v>1390.0140000000001</v>
      </c>
      <c r="D192" s="29">
        <f>D190+'Balance Sheet'!D22</f>
        <v>1547.4000000000003</v>
      </c>
      <c r="E192" s="29">
        <f>E190+'Balance Sheet'!E22</f>
        <v>1728.5</v>
      </c>
      <c r="F192" s="29">
        <f>F190+'Balance Sheet'!F22</f>
        <v>1629.6</v>
      </c>
    </row>
    <row r="193" spans="1:6" ht="15.75" customHeight="1" x14ac:dyDescent="0.2">
      <c r="A193" s="5" t="s">
        <v>374</v>
      </c>
      <c r="B193" s="50">
        <f>B192/'P&amp;L'!B24</f>
        <v>1.077351016672063</v>
      </c>
      <c r="C193" s="50">
        <f>C192/'P&amp;L'!C24</f>
        <v>1.2080701751336467</v>
      </c>
      <c r="D193" s="50">
        <f>D192/'P&amp;L'!D24</f>
        <v>1.5919753086419757</v>
      </c>
      <c r="E193" s="50">
        <f>E192/'P&amp;L'!E24</f>
        <v>2.2630269704111026</v>
      </c>
      <c r="F193" s="50">
        <f>F192/'P&amp;L'!F24</f>
        <v>1.9262411347517729</v>
      </c>
    </row>
  </sheetData>
  <mergeCells count="1">
    <mergeCell ref="A2:F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6"/>
  <sheetViews>
    <sheetView zoomScale="150" zoomScaleNormal="150" workbookViewId="0">
      <pane xSplit="1" ySplit="5" topLeftCell="B6" activePane="bottomRight" state="frozen"/>
      <selection pane="topRight" activeCell="B1" sqref="B1"/>
      <selection pane="bottomLeft" activeCell="A15" sqref="A15"/>
      <selection pane="bottomRight" activeCell="B30" sqref="B30"/>
    </sheetView>
  </sheetViews>
  <sheetFormatPr baseColWidth="10" defaultColWidth="8.83203125" defaultRowHeight="15" customHeight="1" x14ac:dyDescent="0.2"/>
  <cols>
    <col min="1" max="1" width="36.6640625" customWidth="1"/>
    <col min="2" max="6" width="13.6640625" customWidth="1"/>
  </cols>
  <sheetData>
    <row r="1" spans="1:6" ht="3.75" customHeight="1" x14ac:dyDescent="0.2"/>
    <row r="2" spans="1:6" ht="25.5" customHeight="1" x14ac:dyDescent="0.2">
      <c r="A2" s="287" t="s">
        <v>375</v>
      </c>
      <c r="B2" s="288"/>
      <c r="C2" s="288"/>
      <c r="D2" s="288"/>
      <c r="E2" s="288"/>
      <c r="F2" s="289"/>
    </row>
    <row r="3" spans="1:6" ht="3.75" customHeight="1" x14ac:dyDescent="0.2"/>
    <row r="4" spans="1:6" ht="15.75" customHeight="1" x14ac:dyDescent="0.2">
      <c r="A4" s="20" t="s">
        <v>376</v>
      </c>
      <c r="B4" s="21"/>
      <c r="C4" s="21"/>
      <c r="D4" s="21"/>
      <c r="E4" s="21"/>
      <c r="F4" s="21"/>
    </row>
    <row r="5" spans="1:6" ht="18" customHeight="1" x14ac:dyDescent="0.2">
      <c r="A5" s="1"/>
      <c r="B5" s="2">
        <v>2021</v>
      </c>
      <c r="C5" s="2">
        <v>2022</v>
      </c>
      <c r="D5" s="2">
        <v>2023</v>
      </c>
      <c r="E5" s="2">
        <v>2024</v>
      </c>
      <c r="F5" s="2">
        <v>2025</v>
      </c>
    </row>
    <row r="6" spans="1:6" ht="15.75" customHeight="1" x14ac:dyDescent="0.2">
      <c r="A6" s="3" t="s">
        <v>70</v>
      </c>
      <c r="B6" s="29">
        <f>'Balance Sheet'!B12</f>
        <v>3102.7689999999998</v>
      </c>
      <c r="C6" s="29">
        <f>'Balance Sheet'!C12</f>
        <v>3394.1</v>
      </c>
      <c r="D6" s="29">
        <f>'Balance Sheet'!D12</f>
        <v>4154.2999999999993</v>
      </c>
      <c r="E6" s="29">
        <f>'Balance Sheet'!E12</f>
        <v>3798</v>
      </c>
      <c r="F6" s="29">
        <f>'Balance Sheet'!F12</f>
        <v>3681.2999999999997</v>
      </c>
    </row>
    <row r="7" spans="1:6" ht="15.75" customHeight="1" x14ac:dyDescent="0.2">
      <c r="A7" s="5" t="s">
        <v>377</v>
      </c>
      <c r="B7" s="32">
        <f>-'Balance Sheet'!B7</f>
        <v>-155.13999999999999</v>
      </c>
      <c r="C7" s="32">
        <f>-'Balance Sheet'!C7</f>
        <v>-158.9</v>
      </c>
      <c r="D7" s="32">
        <f>-'Balance Sheet'!D7</f>
        <v>-314.7</v>
      </c>
      <c r="E7" s="32">
        <f>-'Balance Sheet'!E7</f>
        <v>-589</v>
      </c>
      <c r="F7" s="32">
        <f>-'Balance Sheet'!F7</f>
        <v>-693.4</v>
      </c>
    </row>
    <row r="8" spans="1:6" ht="15.75" customHeight="1" x14ac:dyDescent="0.2">
      <c r="A8" s="3" t="s">
        <v>378</v>
      </c>
      <c r="B8" s="29">
        <f>-'Balance Sheet'!B8</f>
        <v>-14.12</v>
      </c>
      <c r="C8" s="29">
        <f>-'Balance Sheet'!C8</f>
        <v>-22.2</v>
      </c>
      <c r="D8" s="29">
        <f>-'Balance Sheet'!D8</f>
        <v>-19.5</v>
      </c>
      <c r="E8" s="29">
        <f>-'Balance Sheet'!E8</f>
        <v>-23</v>
      </c>
      <c r="F8" s="29">
        <f>-'Balance Sheet'!F8</f>
        <v>-9.9</v>
      </c>
    </row>
    <row r="9" spans="1:6" ht="15.75" customHeight="1" x14ac:dyDescent="0.2">
      <c r="A9" s="5" t="s">
        <v>379</v>
      </c>
      <c r="B9" s="32">
        <f>-'Balance Sheet'!B9</f>
        <v>-2.6080000000000001</v>
      </c>
      <c r="C9" s="32">
        <f>-'Balance Sheet'!C9</f>
        <v>-2.6</v>
      </c>
      <c r="D9" s="32">
        <f>-'Balance Sheet'!D9</f>
        <v>-2.4</v>
      </c>
      <c r="E9" s="32">
        <f>-'Balance Sheet'!E9</f>
        <v>-4</v>
      </c>
      <c r="F9" s="32">
        <f>-'Balance Sheet'!F9</f>
        <v>-3.3</v>
      </c>
    </row>
    <row r="10" spans="1:6" ht="15.75" customHeight="1" x14ac:dyDescent="0.2">
      <c r="A10" s="3" t="s">
        <v>380</v>
      </c>
      <c r="B10" s="29">
        <f>-'Balance Sheet'!B11</f>
        <v>-219.24799999999999</v>
      </c>
      <c r="C10" s="29">
        <f>-'Balance Sheet'!C11</f>
        <v>-316</v>
      </c>
      <c r="D10" s="29">
        <f>-'Balance Sheet'!D11</f>
        <v>-370.3</v>
      </c>
      <c r="E10" s="29">
        <f>-'Balance Sheet'!E11</f>
        <v>-378</v>
      </c>
      <c r="F10" s="29">
        <f>-'Balance Sheet'!F11</f>
        <v>-196</v>
      </c>
    </row>
    <row r="11" spans="1:6" ht="15.75" customHeight="1" x14ac:dyDescent="0.2">
      <c r="A11" s="5" t="s">
        <v>381</v>
      </c>
      <c r="B11" s="32">
        <f>SUM(B6:B10)</f>
        <v>2711.6529999999998</v>
      </c>
      <c r="C11" s="32">
        <f>SUM(C6:C10)</f>
        <v>2894.4</v>
      </c>
      <c r="D11" s="32">
        <f>SUM(D6:D10)</f>
        <v>3447.3999999999992</v>
      </c>
      <c r="E11" s="32">
        <f>SUM(E6:E10)</f>
        <v>2804</v>
      </c>
      <c r="F11" s="32">
        <f>SUM(F6:F10)</f>
        <v>2778.6999999999994</v>
      </c>
    </row>
    <row r="12" spans="1:6" ht="15.75" customHeight="1" x14ac:dyDescent="0.2">
      <c r="A12" s="3" t="s">
        <v>382</v>
      </c>
      <c r="B12" s="29">
        <f>'Balance Sheet'!B20</f>
        <v>5942.4719999999988</v>
      </c>
      <c r="C12" s="29">
        <f>'Balance Sheet'!C20</f>
        <v>6548.2999999999993</v>
      </c>
      <c r="D12" s="29">
        <f>'Balance Sheet'!D20</f>
        <v>5811.0999999999995</v>
      </c>
      <c r="E12" s="29">
        <f>'Balance Sheet'!E20</f>
        <v>5614</v>
      </c>
      <c r="F12" s="29">
        <f>'Balance Sheet'!F20</f>
        <v>5734.6</v>
      </c>
    </row>
    <row r="13" spans="1:6" ht="15.75" customHeight="1" x14ac:dyDescent="0.2">
      <c r="A13" s="5" t="s">
        <v>383</v>
      </c>
      <c r="B13" s="32">
        <f>-'Balance Sheet'!B13</f>
        <v>-0.16900000000000001</v>
      </c>
      <c r="C13" s="32">
        <f>-'Balance Sheet'!C13</f>
        <v>-1.3</v>
      </c>
      <c r="D13" s="32">
        <f>-'Balance Sheet'!D13</f>
        <v>-0.2</v>
      </c>
      <c r="E13" s="32">
        <f>-'Balance Sheet'!E13</f>
        <v>0</v>
      </c>
      <c r="F13" s="32">
        <f>-'Balance Sheet'!F13</f>
        <v>-1.1000000000000001</v>
      </c>
    </row>
    <row r="14" spans="1:6" ht="15.75" customHeight="1" x14ac:dyDescent="0.2">
      <c r="A14" s="3" t="s">
        <v>384</v>
      </c>
      <c r="B14" s="29">
        <f>-'Balance Sheet'!B16</f>
        <v>-46.762</v>
      </c>
      <c r="C14" s="29">
        <f>-'Balance Sheet'!C16</f>
        <v>-82.9</v>
      </c>
      <c r="D14" s="29">
        <f>-'Balance Sheet'!D16</f>
        <v>-87.8</v>
      </c>
      <c r="E14" s="29">
        <f>-'Balance Sheet'!E16</f>
        <v>-111</v>
      </c>
      <c r="F14" s="29">
        <f>-'Balance Sheet'!F16</f>
        <v>-28.3</v>
      </c>
    </row>
    <row r="15" spans="1:6" ht="15.75" customHeight="1" x14ac:dyDescent="0.2">
      <c r="A15" s="5" t="s">
        <v>378</v>
      </c>
      <c r="B15" s="40">
        <v>-2</v>
      </c>
      <c r="C15" s="51">
        <v>-1</v>
      </c>
      <c r="D15" s="40">
        <v>0</v>
      </c>
      <c r="E15" s="40">
        <v>0</v>
      </c>
      <c r="F15" s="40">
        <v>0</v>
      </c>
    </row>
    <row r="16" spans="1:6" ht="15.75" customHeight="1" x14ac:dyDescent="0.2">
      <c r="A16" s="3" t="s">
        <v>385</v>
      </c>
      <c r="B16" s="29">
        <f>-'Balance Sheet'!B18</f>
        <v>-1194.4369999999999</v>
      </c>
      <c r="C16" s="29">
        <f>-'Balance Sheet'!C18</f>
        <v>-1239.9000000000001</v>
      </c>
      <c r="D16" s="29">
        <f>-'Balance Sheet'!D18</f>
        <v>-1515.5</v>
      </c>
      <c r="E16" s="29">
        <f>-'Balance Sheet'!E18</f>
        <v>-2012</v>
      </c>
      <c r="F16" s="29">
        <f>-'Balance Sheet'!F18</f>
        <v>-1558.8</v>
      </c>
    </row>
    <row r="17" spans="1:6" ht="15.75" customHeight="1" x14ac:dyDescent="0.2">
      <c r="A17" s="5" t="s">
        <v>386</v>
      </c>
      <c r="B17" s="40">
        <v>-2</v>
      </c>
      <c r="C17" s="51">
        <v>-1</v>
      </c>
      <c r="D17" s="40">
        <v>0</v>
      </c>
      <c r="E17" s="40">
        <v>0</v>
      </c>
      <c r="F17" s="40">
        <v>0</v>
      </c>
    </row>
    <row r="18" spans="1:6" ht="15.75" customHeight="1" x14ac:dyDescent="0.2">
      <c r="A18" s="3" t="s">
        <v>387</v>
      </c>
      <c r="B18" s="29">
        <f>SUM(B12:B17)</f>
        <v>4697.1039999999994</v>
      </c>
      <c r="C18" s="29">
        <f>SUM(C12:C17)</f>
        <v>5222.1999999999989</v>
      </c>
      <c r="D18" s="29">
        <f>SUM(D12:D17)</f>
        <v>4207.5999999999995</v>
      </c>
      <c r="E18" s="29">
        <f>SUM(E12:E17)</f>
        <v>3491</v>
      </c>
      <c r="F18" s="29">
        <f>SUM(F12:F17)</f>
        <v>4146.3999999999996</v>
      </c>
    </row>
    <row r="19" spans="1:6" ht="15.75" customHeight="1" x14ac:dyDescent="0.2">
      <c r="A19" s="5" t="s">
        <v>88</v>
      </c>
      <c r="B19" s="32">
        <f>-'Balance Sheet'!B33</f>
        <v>-3479.567</v>
      </c>
      <c r="C19" s="32">
        <f>-'Balance Sheet'!C33</f>
        <v>-4134.3119999999999</v>
      </c>
      <c r="D19" s="32">
        <f>-'Balance Sheet'!D33</f>
        <v>-3595.9000000000005</v>
      </c>
      <c r="E19" s="32">
        <f>-'Balance Sheet'!E33</f>
        <v>-4352.6000000000004</v>
      </c>
      <c r="F19" s="32">
        <f>-'Balance Sheet'!F33</f>
        <v>-4251.5999999999995</v>
      </c>
    </row>
    <row r="20" spans="1:6" ht="15.75" customHeight="1" x14ac:dyDescent="0.2">
      <c r="A20" s="3" t="s">
        <v>388</v>
      </c>
      <c r="B20" s="39">
        <f>'Balance Sheet'!B28</f>
        <v>430.84699999999998</v>
      </c>
      <c r="C20" s="39">
        <f>'Balance Sheet'!C28</f>
        <v>717.25900000000001</v>
      </c>
      <c r="D20" s="39">
        <f>'Balance Sheet'!D28</f>
        <v>728.7</v>
      </c>
      <c r="E20" s="39">
        <f>'Balance Sheet'!E28</f>
        <v>1120</v>
      </c>
      <c r="F20" s="39">
        <f>'Balance Sheet'!F28</f>
        <v>597.20000000000005</v>
      </c>
    </row>
    <row r="21" spans="1:6" ht="15.75" customHeight="1" x14ac:dyDescent="0.2">
      <c r="A21" s="5" t="s">
        <v>389</v>
      </c>
      <c r="B21" s="40">
        <f>'Balance Sheet'!B30</f>
        <v>197.488</v>
      </c>
      <c r="C21" s="40">
        <f>'Balance Sheet'!C30</f>
        <v>261.95</v>
      </c>
      <c r="D21" s="40">
        <f>'Balance Sheet'!D30</f>
        <v>222.8</v>
      </c>
      <c r="E21" s="40">
        <f>'Balance Sheet'!E30</f>
        <v>208</v>
      </c>
      <c r="F21" s="40">
        <f>'Balance Sheet'!F30</f>
        <v>234.9</v>
      </c>
    </row>
    <row r="22" spans="1:6" ht="15.75" customHeight="1" x14ac:dyDescent="0.2">
      <c r="A22" s="3" t="s">
        <v>390</v>
      </c>
      <c r="B22" s="39">
        <f>'Balance Sheet'!B31</f>
        <v>43.265999999999998</v>
      </c>
      <c r="C22" s="39">
        <f>'Balance Sheet'!C31</f>
        <v>45.043999999999997</v>
      </c>
      <c r="D22" s="39">
        <f>'Balance Sheet'!D31</f>
        <v>53</v>
      </c>
      <c r="E22" s="39">
        <f>'Balance Sheet'!E31</f>
        <v>172.6</v>
      </c>
      <c r="F22" s="39">
        <f>'Balance Sheet'!F31</f>
        <v>107.5</v>
      </c>
    </row>
    <row r="23" spans="1:6" ht="15.75" customHeight="1" x14ac:dyDescent="0.2">
      <c r="A23" s="5" t="s">
        <v>391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</row>
    <row r="24" spans="1:6" ht="15.75" customHeight="1" x14ac:dyDescent="0.2">
      <c r="A24" s="3" t="s">
        <v>392</v>
      </c>
      <c r="B24" s="29">
        <f>SUM(B19:B23)</f>
        <v>-2807.9660000000003</v>
      </c>
      <c r="C24" s="29">
        <f>SUM(C19:C23)</f>
        <v>-3110.0590000000002</v>
      </c>
      <c r="D24" s="29">
        <f>SUM(D19:D23)</f>
        <v>-2591.4000000000005</v>
      </c>
      <c r="E24" s="29">
        <f>SUM(E19:E23)</f>
        <v>-2852.0000000000005</v>
      </c>
      <c r="F24" s="29">
        <f>SUM(F19:F23)</f>
        <v>-3311.9999999999995</v>
      </c>
    </row>
    <row r="25" spans="1:6" ht="15.75" customHeight="1" x14ac:dyDescent="0.2">
      <c r="A25" s="5" t="s">
        <v>393</v>
      </c>
      <c r="B25" s="32">
        <f>B11+B18+B24</f>
        <v>4600.7909999999993</v>
      </c>
      <c r="C25" s="32">
        <f>C11+C18+C24</f>
        <v>5006.5409999999983</v>
      </c>
      <c r="D25" s="32">
        <f>D11+D18+D24</f>
        <v>5063.5999999999976</v>
      </c>
      <c r="E25" s="32">
        <f>E11+E18+E24</f>
        <v>3442.9999999999995</v>
      </c>
      <c r="F25" s="32">
        <f>F11+F18+F24</f>
        <v>3613.099999999999</v>
      </c>
    </row>
    <row r="26" spans="1:6" ht="15.75" customHeight="1" x14ac:dyDescent="0.2">
      <c r="A26" s="3" t="s">
        <v>394</v>
      </c>
      <c r="B26" s="29">
        <f>'P&amp;L'!B9</f>
        <v>3963.3100000000009</v>
      </c>
      <c r="C26" s="29">
        <f>'P&amp;L'!C9</f>
        <v>4155.1970000000001</v>
      </c>
      <c r="D26" s="29">
        <f>'P&amp;L'!D9</f>
        <v>3875.7</v>
      </c>
      <c r="E26" s="29">
        <f>'P&amp;L'!E9</f>
        <v>3496</v>
      </c>
      <c r="F26" s="29">
        <f>'P&amp;L'!F9</f>
        <v>3609</v>
      </c>
    </row>
    <row r="27" spans="1:6" ht="15.75" customHeight="1" x14ac:dyDescent="0.2">
      <c r="A27" s="5" t="s">
        <v>395</v>
      </c>
      <c r="B27" s="32">
        <f>'P&amp;L'!B24-'P&amp;L'!B44</f>
        <v>1230.336</v>
      </c>
      <c r="C27" s="32">
        <f>'P&amp;L'!C24-'P&amp;L'!C44</f>
        <v>1134.4070000000002</v>
      </c>
      <c r="D27" s="32">
        <f>'P&amp;L'!D24-'P&amp;L'!D44</f>
        <v>971.6</v>
      </c>
      <c r="E27" s="32">
        <f>'P&amp;L'!E24-'P&amp;L'!E44</f>
        <v>804.82999999999993</v>
      </c>
      <c r="F27" s="32">
        <f>'P&amp;L'!F24-'P&amp;L'!F44</f>
        <v>866</v>
      </c>
    </row>
    <row r="28" spans="1:6" ht="15.75" customHeight="1" x14ac:dyDescent="0.2">
      <c r="A28" s="3" t="s">
        <v>396</v>
      </c>
      <c r="B28" s="29">
        <f>'P&amp;L'!B36-'P&amp;L'!B44</f>
        <v>933.46400000000006</v>
      </c>
      <c r="C28" s="29">
        <f>'P&amp;L'!C36-'P&amp;L'!C44</f>
        <v>834.97699999999986</v>
      </c>
      <c r="D28" s="29">
        <f>'P&amp;L'!D36-'P&amp;L'!D44</f>
        <v>672.65900000000011</v>
      </c>
      <c r="E28" s="29">
        <f>'P&amp;L'!E36-'P&amp;L'!E44</f>
        <v>560.55999999999995</v>
      </c>
      <c r="F28" s="29">
        <f>'P&amp;L'!F36-'P&amp;L'!F44</f>
        <v>619</v>
      </c>
    </row>
    <row r="29" spans="1:6" ht="15.75" customHeight="1" x14ac:dyDescent="0.2">
      <c r="A29" s="5" t="s">
        <v>397</v>
      </c>
      <c r="B29" s="30">
        <f>'P&amp;L'!B74</f>
        <v>0.24399999999999999</v>
      </c>
      <c r="C29" s="30">
        <f>'P&amp;L'!C74</f>
        <v>0.20399999999999999</v>
      </c>
      <c r="D29" s="30">
        <f>'P&amp;L'!D74</f>
        <v>0.252</v>
      </c>
      <c r="E29" s="30">
        <f>'P&amp;L'!E74</f>
        <v>0.29199999999999998</v>
      </c>
      <c r="F29" s="30">
        <f>'P&amp;L'!F74</f>
        <v>0.26100000000000001</v>
      </c>
    </row>
    <row r="30" spans="1:6" ht="15.75" customHeight="1" x14ac:dyDescent="0.2">
      <c r="A30" s="20" t="s">
        <v>398</v>
      </c>
      <c r="B30" s="21">
        <f>B28*(1-B29)</f>
        <v>705.69878400000005</v>
      </c>
      <c r="C30" s="21">
        <f>C28*(1-C29)</f>
        <v>664.64169199999992</v>
      </c>
      <c r="D30" s="21">
        <f>D28*(1-D29)</f>
        <v>503.14893200000006</v>
      </c>
      <c r="E30" s="21">
        <f>E28*(1-E29)</f>
        <v>396.87647999999996</v>
      </c>
      <c r="F30" s="21">
        <f>F28*(1-F29)</f>
        <v>457.44099999999997</v>
      </c>
    </row>
    <row r="31" spans="1:6" ht="15.75" customHeight="1" x14ac:dyDescent="0.2">
      <c r="A31" s="3" t="s">
        <v>399</v>
      </c>
      <c r="B31" s="31">
        <v>0.16</v>
      </c>
      <c r="C31" s="31">
        <f>IFERROR(C30/B25,"na")</f>
        <v>0.14446248308171356</v>
      </c>
      <c r="D31" s="31">
        <f>IFERROR(D30/C25,"na")</f>
        <v>0.10049831450496464</v>
      </c>
      <c r="E31" s="31">
        <f>IFERROR(E30/D25,"na")</f>
        <v>7.8378323722252966E-2</v>
      </c>
      <c r="F31" s="31">
        <f>IFERROR(F30/E25,"na")</f>
        <v>0.1328611675864072</v>
      </c>
    </row>
    <row r="32" spans="1:6" ht="15.75" customHeight="1" x14ac:dyDescent="0.2">
      <c r="A32" s="5" t="s">
        <v>400</v>
      </c>
      <c r="B32" s="50">
        <v>0.88</v>
      </c>
      <c r="C32" s="50">
        <f>C26/B25</f>
        <v>0.90314839339583142</v>
      </c>
      <c r="D32" s="50">
        <f>D26/C25</f>
        <v>0.77412728668356079</v>
      </c>
      <c r="E32" s="50">
        <f>E26/D25</f>
        <v>0.69041788450904529</v>
      </c>
      <c r="F32" s="50">
        <f>F26/E25</f>
        <v>1.0482137670636074</v>
      </c>
    </row>
    <row r="33" spans="1:6" ht="15.75" customHeight="1" x14ac:dyDescent="0.2">
      <c r="A33" s="3" t="s">
        <v>401</v>
      </c>
      <c r="B33" s="31">
        <f t="shared" ref="B33:F34" si="0">B27/B26</f>
        <v>0.31043143231288994</v>
      </c>
      <c r="C33" s="31">
        <f t="shared" si="0"/>
        <v>0.27300919787918604</v>
      </c>
      <c r="D33" s="31">
        <f t="shared" si="0"/>
        <v>0.25069019789973424</v>
      </c>
      <c r="E33" s="31">
        <f t="shared" si="0"/>
        <v>0.2302145308924485</v>
      </c>
      <c r="F33" s="31">
        <f t="shared" si="0"/>
        <v>0.2399556663895816</v>
      </c>
    </row>
    <row r="34" spans="1:6" ht="15.75" customHeight="1" x14ac:dyDescent="0.2">
      <c r="A34" s="5" t="s">
        <v>402</v>
      </c>
      <c r="B34" s="30">
        <f t="shared" si="0"/>
        <v>0.75870656471077824</v>
      </c>
      <c r="C34" s="30">
        <f t="shared" si="0"/>
        <v>0.73604711536512002</v>
      </c>
      <c r="D34" s="30">
        <f t="shared" si="0"/>
        <v>0.69232091395636075</v>
      </c>
      <c r="E34" s="30">
        <f t="shared" si="0"/>
        <v>0.69649491196898727</v>
      </c>
      <c r="F34" s="30">
        <f t="shared" si="0"/>
        <v>0.71478060046189373</v>
      </c>
    </row>
    <row r="35" spans="1:6" ht="15.75" customHeight="1" x14ac:dyDescent="0.2">
      <c r="A35" s="3" t="s">
        <v>403</v>
      </c>
      <c r="B35" s="31">
        <f>B30/B28</f>
        <v>0.75600000000000001</v>
      </c>
      <c r="C35" s="31">
        <f>C30/C28</f>
        <v>0.79600000000000004</v>
      </c>
      <c r="D35" s="31">
        <f>D30/D28</f>
        <v>0.748</v>
      </c>
      <c r="E35" s="31">
        <f>E30/E28</f>
        <v>0.70799999999999996</v>
      </c>
      <c r="F35" s="31">
        <f>F30/F28</f>
        <v>0.73899999999999999</v>
      </c>
    </row>
    <row r="36" spans="1:6" ht="15.75" customHeight="1" x14ac:dyDescent="0.2">
      <c r="A36" s="5" t="s">
        <v>399</v>
      </c>
      <c r="B36" s="30">
        <f>IFERROR(B35*B34*B33*B32,"na")</f>
        <v>0.15669098049862362</v>
      </c>
      <c r="C36" s="30">
        <f>IFERROR(C35*C34*C33*C32,"na")</f>
        <v>0.14446248308171356</v>
      </c>
      <c r="D36" s="30">
        <f>IFERROR(D35*D34*D33*D32,"na")</f>
        <v>0.10049831450496466</v>
      </c>
      <c r="E36" s="30">
        <f>IFERROR(E35*E34*E33*E32,"na")</f>
        <v>7.8378323722252979E-2</v>
      </c>
      <c r="F36" s="30">
        <f>IFERROR(F35*F34*F33*F32,"na")</f>
        <v>0.13286116758640718</v>
      </c>
    </row>
    <row r="37" spans="1:6" ht="3.75" customHeight="1" x14ac:dyDescent="0.2">
      <c r="B37" s="33"/>
      <c r="C37" s="33"/>
      <c r="D37" s="33"/>
      <c r="E37" s="33"/>
      <c r="F37" s="33"/>
    </row>
    <row r="38" spans="1:6" ht="15.75" customHeight="1" x14ac:dyDescent="0.2">
      <c r="A38" s="3" t="s">
        <v>273</v>
      </c>
      <c r="B38" s="29">
        <f>('Balance Sheet'!B14/'P&amp;L'!B9)*365</f>
        <v>264.22634489858217</v>
      </c>
      <c r="C38" s="29">
        <f>('Balance Sheet'!C14/'P&amp;L'!C9)*365</f>
        <v>298.10872986286807</v>
      </c>
      <c r="D38" s="29">
        <f>('Balance Sheet'!D14/'P&amp;L'!D9)*365</f>
        <v>268.41254483061124</v>
      </c>
      <c r="E38" s="29">
        <f>('Balance Sheet'!E14/'P&amp;L'!E9)*365</f>
        <v>235.12013729977116</v>
      </c>
      <c r="F38" s="29">
        <f>('Balance Sheet'!F14/'P&amp;L'!F9)*365</f>
        <v>258.63521751177609</v>
      </c>
    </row>
    <row r="39" spans="1:6" ht="15.75" customHeight="1" x14ac:dyDescent="0.2">
      <c r="A39" s="5" t="s">
        <v>404</v>
      </c>
      <c r="B39" s="32">
        <f>(-'Balance Sheet'!B15/'P&amp;L'!B11)*365</f>
        <v>30.894602505047519</v>
      </c>
      <c r="C39" s="32">
        <f>(-'Balance Sheet'!C15/'P&amp;L'!C11)*365</f>
        <v>29.20733973027912</v>
      </c>
      <c r="D39" s="32">
        <f>(-'Balance Sheet'!D15/'P&amp;L'!D11)*365</f>
        <v>31.401903808250257</v>
      </c>
      <c r="E39" s="32">
        <f>(-'Balance Sheet'!E15/'P&amp;L'!E11)*365</f>
        <v>35.767796542070649</v>
      </c>
      <c r="F39" s="32">
        <f>(-'Balance Sheet'!F15/'P&amp;L'!F11)*365</f>
        <v>34.792535846161222</v>
      </c>
    </row>
    <row r="40" spans="1:6" ht="15.75" customHeight="1" x14ac:dyDescent="0.2">
      <c r="A40" s="3" t="s">
        <v>405</v>
      </c>
      <c r="B40" s="29">
        <f>('Balance Sheet'!B29/'P&amp;L'!B9)*365</f>
        <v>258.59889587238945</v>
      </c>
      <c r="C40" s="29">
        <f>('Balance Sheet'!C29/'P&amp;L'!C9)*365</f>
        <v>273.19319276558969</v>
      </c>
      <c r="D40" s="29">
        <f>('Balance Sheet'!D29/'P&amp;L'!D9)*365</f>
        <v>244.04907500580541</v>
      </c>
      <c r="E40" s="29">
        <f>('Balance Sheet'!E29/'P&amp;L'!E9)*365</f>
        <v>297.76315789473682</v>
      </c>
      <c r="F40" s="29">
        <f>('Balance Sheet'!F29/'P&amp;L'!F9)*365</f>
        <v>334.96259351620949</v>
      </c>
    </row>
    <row r="41" spans="1:6" ht="15.75" customHeight="1" x14ac:dyDescent="0.2">
      <c r="A41" s="5" t="s">
        <v>406</v>
      </c>
      <c r="B41" s="30">
        <f>('Balance Sheet'!B14+'Balance Sheet'!B15-'Balance Sheet'!B29)/'P&amp;L'!B9</f>
        <v>0.4776658903795058</v>
      </c>
      <c r="C41" s="30">
        <f>('Balance Sheet'!C14+'Balance Sheet'!C15-'Balance Sheet'!C29)/'P&amp;L'!C9</f>
        <v>0.50879440854428792</v>
      </c>
      <c r="D41" s="30">
        <f>('Balance Sheet'!D14+'Balance Sheet'!D15-'Balance Sheet'!D29)/'P&amp;L'!D9</f>
        <v>0.41700854039270335</v>
      </c>
      <c r="E41" s="30">
        <f>('Balance Sheet'!E14+'Balance Sheet'!E15-'Balance Sheet'!E29)/'P&amp;L'!E9</f>
        <v>0.18278032036613273</v>
      </c>
      <c r="F41" s="30">
        <f>('Balance Sheet'!F14+'Balance Sheet'!F15-'Balance Sheet'!F29)/'P&amp;L'!F9</f>
        <v>0.2315045719035744</v>
      </c>
    </row>
    <row r="42" spans="1:6" ht="3.75" customHeight="1" x14ac:dyDescent="0.2">
      <c r="B42" s="33"/>
      <c r="C42" s="33"/>
      <c r="D42" s="33"/>
      <c r="E42" s="33"/>
      <c r="F42" s="33"/>
    </row>
    <row r="43" spans="1:6" ht="15.75" customHeight="1" x14ac:dyDescent="0.2">
      <c r="A43" s="20" t="s">
        <v>407</v>
      </c>
      <c r="B43" s="21">
        <f>-'P&amp;L'!B32</f>
        <v>279.53499999999997</v>
      </c>
      <c r="C43" s="21">
        <f>-'P&amp;L'!C32</f>
        <v>285.93200000000002</v>
      </c>
      <c r="D43" s="21">
        <f>-'P&amp;L'!D32</f>
        <v>298.59999999999997</v>
      </c>
      <c r="E43" s="21">
        <f>-'P&amp;L'!E32</f>
        <v>285.3</v>
      </c>
      <c r="F43" s="21">
        <f>-'P&amp;L'!F32</f>
        <v>267.7</v>
      </c>
    </row>
    <row r="44" spans="1:6" ht="15.75" customHeight="1" x14ac:dyDescent="0.2">
      <c r="A44" s="20" t="s">
        <v>408</v>
      </c>
      <c r="B44" s="52">
        <f>B43/5008.5</f>
        <v>5.5812119397025052E-2</v>
      </c>
      <c r="C44" s="52">
        <f>C43/5008.5</f>
        <v>5.7089348108216038E-2</v>
      </c>
      <c r="D44" s="52">
        <f>D43/5008.5</f>
        <v>5.9618648297893574E-2</v>
      </c>
      <c r="E44" s="52">
        <f>E43/D25</f>
        <v>5.6343313057903494E-2</v>
      </c>
      <c r="F44" s="52">
        <f>F43/E25</f>
        <v>7.7751960499564343E-2</v>
      </c>
    </row>
    <row r="45" spans="1:6" ht="15.75" customHeight="1" x14ac:dyDescent="0.2">
      <c r="A45" s="3" t="s">
        <v>409</v>
      </c>
      <c r="B45" s="31">
        <f>B43/'P&amp;L'!B9</f>
        <v>7.0530692779520121E-2</v>
      </c>
      <c r="C45" s="31">
        <f>C43/'P&amp;L'!C9</f>
        <v>6.8813103205455722E-2</v>
      </c>
      <c r="D45" s="31">
        <f>D43/'P&amp;L'!D9</f>
        <v>7.7044146863792337E-2</v>
      </c>
      <c r="E45" s="31">
        <f>E43/'P&amp;L'!E9</f>
        <v>8.1607551487414193E-2</v>
      </c>
      <c r="F45" s="31">
        <f>F43/'P&amp;L'!F9</f>
        <v>7.4175671931282897E-2</v>
      </c>
    </row>
    <row r="46" spans="1:6" ht="3.75" customHeight="1" x14ac:dyDescent="0.2"/>
  </sheetData>
  <mergeCells count="1">
    <mergeCell ref="A2:F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zoomScale="141" zoomScaleNormal="14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baseColWidth="10" defaultColWidth="8.83203125" defaultRowHeight="15" customHeight="1" x14ac:dyDescent="0.2"/>
  <cols>
    <col min="1" max="1" width="36.6640625" customWidth="1"/>
    <col min="2" max="6" width="13.6640625" customWidth="1"/>
  </cols>
  <sheetData>
    <row r="1" spans="1:6" ht="3.75" customHeight="1" x14ac:dyDescent="0.2"/>
    <row r="2" spans="1:6" ht="25.5" customHeight="1" x14ac:dyDescent="0.2">
      <c r="A2" s="287" t="s">
        <v>410</v>
      </c>
      <c r="B2" s="288"/>
      <c r="C2" s="288"/>
      <c r="D2" s="288"/>
      <c r="E2" s="288"/>
      <c r="F2" s="288"/>
    </row>
    <row r="3" spans="1:6" ht="3.75" customHeight="1" x14ac:dyDescent="0.2"/>
    <row r="4" spans="1:6" ht="18" customHeight="1" x14ac:dyDescent="0.2">
      <c r="A4" s="1"/>
      <c r="B4" s="2">
        <v>2021</v>
      </c>
      <c r="C4" s="2">
        <v>2022</v>
      </c>
      <c r="D4" s="2">
        <v>2023</v>
      </c>
      <c r="E4" s="2">
        <v>2024</v>
      </c>
      <c r="F4" s="2">
        <v>2025</v>
      </c>
    </row>
    <row r="5" spans="1:6" ht="15.75" customHeight="1" x14ac:dyDescent="0.2">
      <c r="A5" s="3" t="s">
        <v>411</v>
      </c>
      <c r="B5" s="39">
        <f>'Balance Sheet'!B22</f>
        <v>387.20600000000002</v>
      </c>
      <c r="C5" s="39">
        <f>'Balance Sheet'!C22</f>
        <v>286.476</v>
      </c>
      <c r="D5" s="39">
        <f>'Balance Sheet'!D22</f>
        <v>314.8</v>
      </c>
      <c r="E5" s="39">
        <f>'Balance Sheet'!E22</f>
        <v>303.5</v>
      </c>
      <c r="F5" s="39">
        <f>'Balance Sheet'!F22</f>
        <v>272.60000000000002</v>
      </c>
    </row>
    <row r="6" spans="1:6" ht="15.75" customHeight="1" x14ac:dyDescent="0.2">
      <c r="A6" s="5" t="s">
        <v>397</v>
      </c>
      <c r="B6" s="30">
        <f>'P&amp;L'!B74</f>
        <v>0.24399999999999999</v>
      </c>
      <c r="C6" s="30">
        <f>'P&amp;L'!C74</f>
        <v>0.20399999999999999</v>
      </c>
      <c r="D6" s="30">
        <f>'P&amp;L'!D74</f>
        <v>0.252</v>
      </c>
      <c r="E6" s="30">
        <f>'P&amp;L'!E74</f>
        <v>0.29199999999999998</v>
      </c>
      <c r="F6" s="30">
        <f>'P&amp;L'!F74</f>
        <v>0.26100000000000001</v>
      </c>
    </row>
    <row r="7" spans="1:6" ht="15.75" customHeight="1" x14ac:dyDescent="0.2">
      <c r="A7" s="3" t="s">
        <v>412</v>
      </c>
      <c r="B7" s="29">
        <f t="shared" ref="B7:F7" si="0">B5*(1-B6)</f>
        <v>292.72773599999999</v>
      </c>
      <c r="C7" s="29">
        <f t="shared" si="0"/>
        <v>228.034896</v>
      </c>
      <c r="D7" s="29">
        <f t="shared" si="0"/>
        <v>235.47040000000001</v>
      </c>
      <c r="E7" s="29">
        <f t="shared" si="0"/>
        <v>214.87799999999999</v>
      </c>
      <c r="F7" s="29">
        <f t="shared" si="0"/>
        <v>201.45140000000001</v>
      </c>
    </row>
    <row r="8" spans="1:6" ht="15.75" customHeight="1" x14ac:dyDescent="0.2">
      <c r="A8" s="5" t="s">
        <v>413</v>
      </c>
      <c r="B8" s="40">
        <f>'Balance Sheet'!B26</f>
        <v>215.50200000000001</v>
      </c>
      <c r="C8" s="40">
        <f>'Balance Sheet'!C26</f>
        <v>251.28899999999999</v>
      </c>
      <c r="D8" s="40">
        <f>'Balance Sheet'!D26</f>
        <v>214.2</v>
      </c>
      <c r="E8" s="40">
        <f>'Balance Sheet'!E26</f>
        <v>265</v>
      </c>
      <c r="F8" s="40">
        <f>'Balance Sheet'!F26</f>
        <v>226.5</v>
      </c>
    </row>
    <row r="9" spans="1:6" ht="15.75" customHeight="1" x14ac:dyDescent="0.2">
      <c r="A9" s="3" t="s">
        <v>414</v>
      </c>
      <c r="B9" s="39">
        <f>'Balance Sheet'!B31</f>
        <v>43.265999999999998</v>
      </c>
      <c r="C9" s="39">
        <f>'Balance Sheet'!C31</f>
        <v>45.043999999999997</v>
      </c>
      <c r="D9" s="39">
        <f>'Balance Sheet'!D31</f>
        <v>53</v>
      </c>
      <c r="E9" s="39">
        <f>'Balance Sheet'!E31</f>
        <v>172.6</v>
      </c>
      <c r="F9" s="39">
        <f>'Balance Sheet'!F31</f>
        <v>107.5</v>
      </c>
    </row>
    <row r="10" spans="1:6" ht="15.75" customHeight="1" x14ac:dyDescent="0.2">
      <c r="A10" s="5" t="s">
        <v>415</v>
      </c>
      <c r="B10" s="40">
        <f>'Balance Sheet'!B23</f>
        <v>1724.037</v>
      </c>
      <c r="C10" s="40">
        <f>'Balance Sheet'!C23</f>
        <v>1626.1790000000001</v>
      </c>
      <c r="D10" s="40">
        <f>'Balance Sheet'!D23</f>
        <v>2019.4</v>
      </c>
      <c r="E10" s="40">
        <f>'Balance Sheet'!E23</f>
        <v>2317</v>
      </c>
      <c r="F10" s="40">
        <f>'Balance Sheet'!F23</f>
        <v>2244.4</v>
      </c>
    </row>
    <row r="11" spans="1:6" ht="15.75" customHeight="1" x14ac:dyDescent="0.2">
      <c r="A11" s="3" t="s">
        <v>416</v>
      </c>
      <c r="B11" s="39">
        <f>'Balance Sheet'!B28</f>
        <v>430.84699999999998</v>
      </c>
      <c r="C11" s="39">
        <f>'Balance Sheet'!C28</f>
        <v>717.25900000000001</v>
      </c>
      <c r="D11" s="39">
        <f>'Balance Sheet'!D28</f>
        <v>728.7</v>
      </c>
      <c r="E11" s="39">
        <f>'Balance Sheet'!E28</f>
        <v>1120</v>
      </c>
      <c r="F11" s="39">
        <f>'Balance Sheet'!F28</f>
        <v>597.20000000000005</v>
      </c>
    </row>
    <row r="12" spans="1:6" ht="15.75" customHeight="1" x14ac:dyDescent="0.2">
      <c r="A12" s="5" t="s">
        <v>417</v>
      </c>
      <c r="B12" s="32">
        <f>-'Balance Sheet'!B18</f>
        <v>-1194.4369999999999</v>
      </c>
      <c r="C12" s="32">
        <f>-'Balance Sheet'!C18</f>
        <v>-1239.9000000000001</v>
      </c>
      <c r="D12" s="32">
        <f>-'Balance Sheet'!D18</f>
        <v>-1515.5</v>
      </c>
      <c r="E12" s="32">
        <f>-'Balance Sheet'!E18</f>
        <v>-2012</v>
      </c>
      <c r="F12" s="32">
        <f>-'Balance Sheet'!F18</f>
        <v>-1558.8</v>
      </c>
    </row>
    <row r="13" spans="1:6" ht="15.75" customHeight="1" x14ac:dyDescent="0.2">
      <c r="A13" s="3" t="s">
        <v>418</v>
      </c>
      <c r="B13" s="39">
        <f>'Balance Sheet'!B38</f>
        <v>54.392000000000003</v>
      </c>
      <c r="C13" s="39">
        <f>'Balance Sheet'!C38</f>
        <v>49.569000000000003</v>
      </c>
      <c r="D13" s="39">
        <f>'Balance Sheet'!D38</f>
        <v>36.4</v>
      </c>
      <c r="E13" s="39">
        <f>'Balance Sheet'!E38</f>
        <v>-16</v>
      </c>
      <c r="F13" s="39">
        <f>'Balance Sheet'!F38</f>
        <v>32.4</v>
      </c>
    </row>
    <row r="14" spans="1:6" ht="15.75" customHeight="1" x14ac:dyDescent="0.2">
      <c r="A14" s="5" t="s">
        <v>419</v>
      </c>
      <c r="B14" s="32"/>
      <c r="C14" s="32"/>
      <c r="D14" s="32"/>
      <c r="E14" s="32"/>
      <c r="F14" s="32"/>
    </row>
    <row r="15" spans="1:6" ht="15.75" customHeight="1" x14ac:dyDescent="0.2">
      <c r="A15" s="3" t="s">
        <v>420</v>
      </c>
      <c r="B15" s="29">
        <f t="shared" ref="B15:E15" si="1">SUM(B7:B13)</f>
        <v>1566.334736</v>
      </c>
      <c r="C15" s="29">
        <f t="shared" si="1"/>
        <v>1677.4748959999997</v>
      </c>
      <c r="D15" s="29">
        <f t="shared" si="1"/>
        <v>1771.6704000000004</v>
      </c>
      <c r="E15" s="29">
        <f t="shared" si="1"/>
        <v>2061.4780000000001</v>
      </c>
      <c r="F15" s="29">
        <f>SUM(F7:F13)</f>
        <v>1850.6514000000004</v>
      </c>
    </row>
    <row r="16" spans="1:6" ht="15.75" customHeight="1" x14ac:dyDescent="0.2">
      <c r="A16" s="5" t="s">
        <v>421</v>
      </c>
      <c r="B16" s="40">
        <v>48.6</v>
      </c>
      <c r="C16" s="40">
        <v>35.200000000000003</v>
      </c>
      <c r="D16" s="40">
        <v>27.3</v>
      </c>
      <c r="E16" s="40">
        <v>9.9600000000000009</v>
      </c>
      <c r="F16" s="40">
        <v>18</v>
      </c>
    </row>
    <row r="17" spans="1:6" ht="15.75" customHeight="1" x14ac:dyDescent="0.2">
      <c r="A17" s="3" t="s">
        <v>422</v>
      </c>
      <c r="B17" s="29">
        <f>B16*'P&amp;L'!B81</f>
        <v>11707.74</v>
      </c>
      <c r="C17" s="29">
        <f>C16*'P&amp;L'!C81</f>
        <v>8458.5600000000013</v>
      </c>
      <c r="D17" s="29">
        <f>D16*'P&amp;L'!D81</f>
        <v>6562.92</v>
      </c>
      <c r="E17" s="29">
        <f>E16*'P&amp;L'!E81</f>
        <v>2394.3840000000005</v>
      </c>
      <c r="F17" s="29">
        <f>F16*'P&amp;L'!F81</f>
        <v>4329.72</v>
      </c>
    </row>
    <row r="18" spans="1:6" ht="15.75" customHeight="1" x14ac:dyDescent="0.2">
      <c r="A18" s="5" t="s">
        <v>423</v>
      </c>
      <c r="B18" s="32">
        <f>B15+B17</f>
        <v>13274.074736</v>
      </c>
      <c r="C18" s="32">
        <f>C15+C17</f>
        <v>10136.034896000001</v>
      </c>
      <c r="D18" s="32">
        <f>D15+D17</f>
        <v>8334.590400000001</v>
      </c>
      <c r="E18" s="32">
        <f>E15+E17</f>
        <v>4455.862000000001</v>
      </c>
      <c r="F18" s="32">
        <f>F15+F17</f>
        <v>6180.3714000000009</v>
      </c>
    </row>
    <row r="19" spans="1:6" ht="15.75" customHeight="1" x14ac:dyDescent="0.2">
      <c r="A19" s="20" t="s">
        <v>424</v>
      </c>
      <c r="B19" s="21">
        <f>B18/'Invested Capital'!B25</f>
        <v>2.885172296676811</v>
      </c>
      <c r="C19" s="21">
        <f>C18/'Invested Capital'!C25</f>
        <v>2.0245584518333124</v>
      </c>
      <c r="D19" s="21">
        <f>D18/'Invested Capital'!D25</f>
        <v>1.6459811991468529</v>
      </c>
      <c r="E19" s="21">
        <f>E18/'Invested Capital'!E25</f>
        <v>1.2941800755155393</v>
      </c>
      <c r="F19" s="21">
        <f>F18/'Invested Capital'!F25</f>
        <v>1.7105453488693927</v>
      </c>
    </row>
    <row r="20" spans="1:6" ht="15.75" customHeight="1" x14ac:dyDescent="0.2">
      <c r="A20" s="20" t="s">
        <v>425</v>
      </c>
      <c r="B20" s="21">
        <f>B18/'Invested Capital'!B27</f>
        <v>10.7889834451727</v>
      </c>
      <c r="C20" s="21">
        <f>C18/'Invested Capital'!C27</f>
        <v>8.9350955133386876</v>
      </c>
      <c r="D20" s="21">
        <f>D18/'Invested Capital'!D27</f>
        <v>8.5782116097159324</v>
      </c>
      <c r="E20" s="21">
        <f>E18/'Invested Capital'!E27</f>
        <v>5.5364014760881197</v>
      </c>
      <c r="F20" s="21">
        <f>F18/'Invested Capital'!F27</f>
        <v>7.1366875288683609</v>
      </c>
    </row>
    <row r="21" spans="1:6" ht="15.75" customHeight="1" x14ac:dyDescent="0.2">
      <c r="A21" s="3" t="s">
        <v>426</v>
      </c>
      <c r="B21" s="29">
        <f>B18/'P&amp;L'!B81</f>
        <v>55.102012187629725</v>
      </c>
      <c r="C21" s="29">
        <f>C18/'P&amp;L'!C81</f>
        <v>42.180752792342908</v>
      </c>
      <c r="D21" s="29">
        <f>D18/'P&amp;L'!D81</f>
        <v>34.669677204658903</v>
      </c>
      <c r="E21" s="29">
        <f>E18/'P&amp;L'!E81</f>
        <v>18.535199667221303</v>
      </c>
      <c r="F21" s="29">
        <f>F18/'P&amp;L'!F81</f>
        <v>25.693736592666504</v>
      </c>
    </row>
    <row r="22" spans="1:6" ht="15.75" customHeight="1" x14ac:dyDescent="0.2">
      <c r="A22" s="20" t="s">
        <v>427</v>
      </c>
      <c r="B22" s="52">
        <f>'Invested Capital'!B30/('Miscellaneous '!B190+'Balance Sheet'!B40)</f>
        <v>0.17096571788645601</v>
      </c>
      <c r="C22" s="52">
        <f>'Invested Capital'!C30/('Miscellaneous '!C190+'Balance Sheet'!C40)</f>
        <v>0.14233411855606962</v>
      </c>
      <c r="D22" s="52">
        <f>'Invested Capital'!D30/('Miscellaneous '!D190+'Balance Sheet'!D40)</f>
        <v>0.10205653678424373</v>
      </c>
      <c r="E22" s="52">
        <f>'Invested Capital'!E30/('Miscellaneous '!E190+'Balance Sheet'!E40)</f>
        <v>0.11861221757322174</v>
      </c>
      <c r="F22" s="52">
        <f>'Invested Capital'!F30/('Miscellaneous '!F190+'Balance Sheet'!F40)</f>
        <v>0.1260654246816954</v>
      </c>
    </row>
  </sheetData>
  <mergeCells count="1">
    <mergeCell ref="A2:F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66"/>
  <sheetViews>
    <sheetView zoomScale="125" zoomScaleNormal="119" workbookViewId="0">
      <pane ySplit="1" topLeftCell="A2" activePane="bottomLeft" state="frozen"/>
      <selection pane="bottomLeft" activeCell="A163" sqref="A163:XFD163"/>
    </sheetView>
  </sheetViews>
  <sheetFormatPr baseColWidth="10" defaultColWidth="8.83203125" defaultRowHeight="15" customHeight="1" x14ac:dyDescent="0.2"/>
  <cols>
    <col min="1" max="1" width="52" customWidth="1"/>
    <col min="2" max="11" width="12" customWidth="1"/>
    <col min="12" max="12" width="2" customWidth="1"/>
    <col min="13" max="13" width="55" customWidth="1"/>
  </cols>
  <sheetData>
    <row r="1" spans="1:16" ht="18" customHeight="1" x14ac:dyDescent="0.2">
      <c r="A1" s="53"/>
      <c r="B1" s="54" t="s">
        <v>2</v>
      </c>
      <c r="C1" s="54" t="s">
        <v>3</v>
      </c>
      <c r="D1" s="54" t="s">
        <v>4</v>
      </c>
      <c r="E1" s="54" t="s">
        <v>5</v>
      </c>
      <c r="F1" s="54" t="s">
        <v>6</v>
      </c>
      <c r="G1" s="55" t="s">
        <v>428</v>
      </c>
      <c r="H1" s="55" t="s">
        <v>429</v>
      </c>
      <c r="I1" s="55" t="s">
        <v>430</v>
      </c>
      <c r="J1" s="55" t="s">
        <v>431</v>
      </c>
      <c r="K1" s="55" t="s">
        <v>432</v>
      </c>
    </row>
    <row r="2" spans="1:16" ht="21.75" customHeight="1" x14ac:dyDescent="0.2">
      <c r="A2" s="299" t="s">
        <v>433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9"/>
    </row>
    <row r="3" spans="1:16" ht="13.5" customHeight="1" x14ac:dyDescent="0.2">
      <c r="A3" s="301" t="s">
        <v>434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5.75" customHeight="1" x14ac:dyDescent="0.2">
      <c r="A4" s="56"/>
      <c r="B4" s="290" t="s">
        <v>435</v>
      </c>
      <c r="C4" s="291"/>
      <c r="D4" s="291"/>
      <c r="E4" s="291"/>
      <c r="F4" s="291"/>
      <c r="G4" s="304" t="s">
        <v>436</v>
      </c>
      <c r="H4" s="291"/>
      <c r="I4" s="291"/>
      <c r="J4" s="291"/>
      <c r="K4" s="291"/>
    </row>
    <row r="5" spans="1:16" ht="19.5" customHeight="1" x14ac:dyDescent="0.2">
      <c r="A5" s="295" t="s">
        <v>437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9"/>
    </row>
    <row r="6" spans="1:16" ht="18" customHeight="1" x14ac:dyDescent="0.2">
      <c r="A6" s="296" t="s">
        <v>438</v>
      </c>
      <c r="B6" s="288"/>
      <c r="C6" s="288"/>
      <c r="D6" s="288"/>
      <c r="E6" s="288"/>
      <c r="F6" s="288"/>
      <c r="G6" s="288"/>
      <c r="H6" s="288"/>
      <c r="I6" s="288"/>
      <c r="J6" s="288"/>
      <c r="K6" s="288"/>
      <c r="L6" s="289"/>
    </row>
    <row r="7" spans="1:16" ht="15.75" customHeight="1" x14ac:dyDescent="0.2">
      <c r="A7" s="57" t="s">
        <v>439</v>
      </c>
      <c r="B7" s="58"/>
      <c r="C7" s="58"/>
      <c r="D7" s="58"/>
      <c r="E7" s="58"/>
      <c r="F7" s="58"/>
      <c r="G7" s="58"/>
      <c r="H7" s="58"/>
      <c r="I7" s="58"/>
      <c r="J7" s="58"/>
      <c r="K7" s="58"/>
    </row>
    <row r="8" spans="1:16" ht="15.75" customHeight="1" x14ac:dyDescent="0.2">
      <c r="A8" s="59" t="s">
        <v>440</v>
      </c>
      <c r="B8" s="60">
        <v>1685.69</v>
      </c>
      <c r="C8" s="60">
        <v>1775.14</v>
      </c>
      <c r="D8" s="60">
        <v>1800.3</v>
      </c>
      <c r="E8" s="60">
        <v>1666</v>
      </c>
      <c r="F8" s="60">
        <v>1668</v>
      </c>
      <c r="G8" s="61">
        <v>1634.64</v>
      </c>
      <c r="H8" s="61">
        <v>1601.95</v>
      </c>
      <c r="I8" s="61">
        <v>1577.92</v>
      </c>
      <c r="J8" s="61">
        <v>1562.14</v>
      </c>
      <c r="K8" s="61">
        <v>1546.52</v>
      </c>
    </row>
    <row r="9" spans="1:16" ht="15.75" customHeight="1" x14ac:dyDescent="0.2">
      <c r="A9" s="62" t="s">
        <v>441</v>
      </c>
      <c r="B9" s="63">
        <v>1685.69</v>
      </c>
      <c r="C9" s="63">
        <v>1775.14</v>
      </c>
      <c r="D9" s="63">
        <v>1800.3</v>
      </c>
      <c r="E9" s="63">
        <v>1666</v>
      </c>
      <c r="F9" s="63">
        <v>1668</v>
      </c>
      <c r="G9" s="63">
        <f>F9*(1+G13)</f>
        <v>1676.34</v>
      </c>
      <c r="H9" s="63">
        <f>G9*(1+H13)</f>
        <v>1684.7216999999998</v>
      </c>
      <c r="I9" s="63">
        <f>H9</f>
        <v>1684.7216999999998</v>
      </c>
      <c r="J9" s="63">
        <f>I9</f>
        <v>1684.7216999999998</v>
      </c>
      <c r="K9" s="63">
        <f>J9</f>
        <v>1684.7216999999998</v>
      </c>
    </row>
    <row r="10" spans="1:16" ht="15.75" customHeight="1" x14ac:dyDescent="0.2">
      <c r="A10" s="64" t="s">
        <v>442</v>
      </c>
      <c r="B10" s="60">
        <v>1685.69</v>
      </c>
      <c r="C10" s="60">
        <v>1775.14</v>
      </c>
      <c r="D10" s="60">
        <v>1800.3</v>
      </c>
      <c r="E10" s="60">
        <v>1666</v>
      </c>
      <c r="F10" s="60">
        <v>1668</v>
      </c>
      <c r="G10" s="65">
        <v>1693.02</v>
      </c>
      <c r="H10" s="65">
        <v>1718.42</v>
      </c>
      <c r="I10" s="65">
        <v>1752.79</v>
      </c>
      <c r="J10" s="65">
        <f>I10*(1+K14)</f>
        <v>1761.5539499999998</v>
      </c>
      <c r="K10" s="65">
        <f>J10*(1+K14)</f>
        <v>1770.3617197499996</v>
      </c>
    </row>
    <row r="11" spans="1:16" ht="15.75" customHeight="1" x14ac:dyDescent="0.2">
      <c r="A11" s="66" t="s">
        <v>443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</row>
    <row r="12" spans="1:16" ht="15.75" customHeight="1" x14ac:dyDescent="0.2">
      <c r="A12" s="68" t="s">
        <v>440</v>
      </c>
      <c r="B12" s="69" t="s">
        <v>15</v>
      </c>
      <c r="C12" s="70">
        <v>5.3064323808054897E-2</v>
      </c>
      <c r="D12" s="70">
        <v>1.4173529975100499E-2</v>
      </c>
      <c r="E12" s="70">
        <v>-7.4598677998111401E-2</v>
      </c>
      <c r="F12" s="70">
        <v>1.20048019207683E-3</v>
      </c>
      <c r="G12" s="71">
        <v>-0.02</v>
      </c>
      <c r="H12" s="71">
        <v>-0.02</v>
      </c>
      <c r="I12" s="71">
        <v>-1.4999999999999999E-2</v>
      </c>
      <c r="J12" s="71">
        <v>-0.01</v>
      </c>
      <c r="K12" s="71">
        <v>-0.01</v>
      </c>
    </row>
    <row r="13" spans="1:16" ht="15.75" customHeight="1" x14ac:dyDescent="0.2">
      <c r="A13" s="72" t="s">
        <v>441</v>
      </c>
      <c r="B13" s="69" t="s">
        <v>15</v>
      </c>
      <c r="C13" s="70">
        <v>5.3064323808054897E-2</v>
      </c>
      <c r="D13" s="70">
        <v>1.4173529975100499E-2</v>
      </c>
      <c r="E13" s="70">
        <v>-7.4598677998111401E-2</v>
      </c>
      <c r="F13" s="70">
        <v>1.20048019207683E-3</v>
      </c>
      <c r="G13" s="73">
        <v>5.0000000000000001E-3</v>
      </c>
      <c r="H13" s="73">
        <v>5.0000000000000001E-3</v>
      </c>
      <c r="I13" s="73">
        <v>0</v>
      </c>
      <c r="J13" s="73">
        <v>0</v>
      </c>
      <c r="K13" s="73">
        <v>0</v>
      </c>
    </row>
    <row r="14" spans="1:16" ht="15.75" customHeight="1" x14ac:dyDescent="0.2">
      <c r="A14" s="74" t="s">
        <v>442</v>
      </c>
      <c r="B14" s="69" t="s">
        <v>15</v>
      </c>
      <c r="C14" s="70">
        <v>5.3064323808054897E-2</v>
      </c>
      <c r="D14" s="70">
        <v>1.4173529975100499E-2</v>
      </c>
      <c r="E14" s="70">
        <v>-7.4598677998111401E-2</v>
      </c>
      <c r="F14" s="70">
        <v>1.20048019207683E-3</v>
      </c>
      <c r="G14" s="75">
        <v>1.4999999999999999E-2</v>
      </c>
      <c r="H14" s="75">
        <v>1.4999999999999999E-2</v>
      </c>
      <c r="I14" s="75">
        <v>0.02</v>
      </c>
      <c r="J14" s="75">
        <v>0.01</v>
      </c>
      <c r="K14" s="75">
        <v>5.0000000000000001E-3</v>
      </c>
    </row>
    <row r="15" spans="1:16" ht="15.75" customHeight="1" x14ac:dyDescent="0.2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</row>
    <row r="16" spans="1:16" ht="18" customHeight="1" x14ac:dyDescent="0.2">
      <c r="A16" s="292" t="s">
        <v>444</v>
      </c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9"/>
    </row>
    <row r="17" spans="1:16" ht="15.75" customHeight="1" x14ac:dyDescent="0.2">
      <c r="A17" s="59" t="s">
        <v>440</v>
      </c>
      <c r="B17" s="60">
        <v>7989.68</v>
      </c>
      <c r="C17" s="60">
        <v>7570.33</v>
      </c>
      <c r="D17" s="60">
        <v>6139.9</v>
      </c>
      <c r="E17" s="60">
        <v>4346</v>
      </c>
      <c r="F17" s="60">
        <v>4482</v>
      </c>
      <c r="G17" s="61">
        <f>F17*(1+G12)</f>
        <v>4392.3599999999997</v>
      </c>
      <c r="H17" s="61">
        <f t="shared" ref="H17:K17" si="0">G17*(1+H12)</f>
        <v>4304.5127999999995</v>
      </c>
      <c r="I17" s="61">
        <f t="shared" si="0"/>
        <v>4239.9451079999999</v>
      </c>
      <c r="J17" s="61">
        <f t="shared" si="0"/>
        <v>4197.5456569199996</v>
      </c>
      <c r="K17" s="61">
        <f t="shared" si="0"/>
        <v>4155.5702003507995</v>
      </c>
    </row>
    <row r="18" spans="1:16" ht="15.75" customHeight="1" x14ac:dyDescent="0.2">
      <c r="A18" s="62" t="s">
        <v>441</v>
      </c>
      <c r="B18" s="63">
        <v>7989.68</v>
      </c>
      <c r="C18" s="63">
        <v>7570.33</v>
      </c>
      <c r="D18" s="63">
        <v>6139.9</v>
      </c>
      <c r="E18" s="63">
        <v>4346</v>
      </c>
      <c r="F18" s="63">
        <v>4482</v>
      </c>
      <c r="G18" s="63">
        <f>F18*(1+G13)</f>
        <v>4504.41</v>
      </c>
      <c r="H18" s="63">
        <f>G18*(1+H13)</f>
        <v>4526.9320499999994</v>
      </c>
      <c r="I18" s="63">
        <f>H18</f>
        <v>4526.9320499999994</v>
      </c>
      <c r="J18" s="63">
        <f>I18</f>
        <v>4526.9320499999994</v>
      </c>
      <c r="K18" s="63">
        <f>J18</f>
        <v>4526.9320499999994</v>
      </c>
    </row>
    <row r="19" spans="1:16" ht="15.75" customHeight="1" x14ac:dyDescent="0.2">
      <c r="A19" s="64" t="s">
        <v>442</v>
      </c>
      <c r="B19" s="60">
        <v>7989.68</v>
      </c>
      <c r="C19" s="60">
        <v>7570.33</v>
      </c>
      <c r="D19" s="60">
        <v>6139.9</v>
      </c>
      <c r="E19" s="60">
        <v>4346</v>
      </c>
      <c r="F19" s="60">
        <v>4482</v>
      </c>
      <c r="G19" s="65">
        <f>F19*(1+G14)</f>
        <v>4549.2299999999996</v>
      </c>
      <c r="H19" s="65">
        <f t="shared" ref="H19:K19" si="1">G19*(1+H14)</f>
        <v>4617.4684499999994</v>
      </c>
      <c r="I19" s="65">
        <f t="shared" si="1"/>
        <v>4709.8178189999999</v>
      </c>
      <c r="J19" s="65">
        <f t="shared" si="1"/>
        <v>4756.9159971899999</v>
      </c>
      <c r="K19" s="65">
        <f t="shared" si="1"/>
        <v>4780.7005771759495</v>
      </c>
    </row>
    <row r="20" spans="1:16" ht="15.75" customHeight="1" x14ac:dyDescent="0.2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</row>
    <row r="21" spans="1:16" ht="15.75" customHeight="1" x14ac:dyDescent="0.2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</row>
    <row r="22" spans="1:16" ht="19.5" customHeight="1" x14ac:dyDescent="0.2">
      <c r="A22" s="297" t="s">
        <v>445</v>
      </c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9"/>
    </row>
    <row r="23" spans="1:16" ht="18" customHeight="1" x14ac:dyDescent="0.2">
      <c r="A23" s="296" t="s">
        <v>438</v>
      </c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9"/>
    </row>
    <row r="24" spans="1:16" ht="15.75" customHeight="1" x14ac:dyDescent="0.2">
      <c r="A24" s="57" t="s">
        <v>439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</row>
    <row r="25" spans="1:16" ht="15.75" customHeight="1" x14ac:dyDescent="0.2">
      <c r="A25" s="59" t="s">
        <v>440</v>
      </c>
      <c r="B25" s="60">
        <v>1104.2</v>
      </c>
      <c r="C25" s="60">
        <v>1102.6600000000001</v>
      </c>
      <c r="D25" s="60">
        <v>1008.9</v>
      </c>
      <c r="E25" s="60">
        <v>899</v>
      </c>
      <c r="F25" s="60">
        <v>947</v>
      </c>
      <c r="G25" s="61">
        <f>F25*(1+G29)</f>
        <v>947</v>
      </c>
      <c r="H25" s="61">
        <f t="shared" ref="H25:K25" si="2">G25*(1+H29)</f>
        <v>956.47</v>
      </c>
      <c r="I25" s="61">
        <f t="shared" si="2"/>
        <v>975.59940000000006</v>
      </c>
      <c r="J25" s="61">
        <f t="shared" si="2"/>
        <v>1004.8673820000001</v>
      </c>
      <c r="K25" s="61">
        <f t="shared" si="2"/>
        <v>1029.98906655</v>
      </c>
    </row>
    <row r="26" spans="1:16" ht="15.75" customHeight="1" x14ac:dyDescent="0.2">
      <c r="A26" s="62" t="s">
        <v>441</v>
      </c>
      <c r="B26" s="63">
        <v>1104.2</v>
      </c>
      <c r="C26" s="63">
        <v>1102.6600000000001</v>
      </c>
      <c r="D26" s="63">
        <v>1008.9</v>
      </c>
      <c r="E26" s="63">
        <v>899</v>
      </c>
      <c r="F26" s="63">
        <v>947</v>
      </c>
      <c r="G26" s="63">
        <f>F26*(1+G30)</f>
        <v>965.94</v>
      </c>
      <c r="H26" s="63">
        <f t="shared" ref="H26:K26" si="3">G26*(1+H30)</f>
        <v>994.91820000000007</v>
      </c>
      <c r="I26" s="63">
        <f t="shared" si="3"/>
        <v>1054.6132920000002</v>
      </c>
      <c r="J26" s="63">
        <f t="shared" si="3"/>
        <v>1128.4362224400004</v>
      </c>
      <c r="K26" s="63">
        <f t="shared" si="3"/>
        <v>1184.8580335620004</v>
      </c>
    </row>
    <row r="27" spans="1:16" ht="15.75" customHeight="1" x14ac:dyDescent="0.2">
      <c r="A27" s="64" t="s">
        <v>442</v>
      </c>
      <c r="B27" s="60">
        <v>1104.2</v>
      </c>
      <c r="C27" s="60">
        <v>1102.6600000000001</v>
      </c>
      <c r="D27" s="60">
        <v>1008.9</v>
      </c>
      <c r="E27" s="60">
        <v>899</v>
      </c>
      <c r="F27" s="60">
        <v>947</v>
      </c>
      <c r="G27" s="65">
        <f>F27*(1+G31)</f>
        <v>994.35</v>
      </c>
      <c r="H27" s="65">
        <f t="shared" ref="H27:K27" si="4">G27*(1+H31)</f>
        <v>1054.011</v>
      </c>
      <c r="I27" s="65">
        <f t="shared" si="4"/>
        <v>1159.4121</v>
      </c>
      <c r="J27" s="65">
        <f t="shared" si="4"/>
        <v>1298.5415520000001</v>
      </c>
      <c r="K27" s="65">
        <f t="shared" si="4"/>
        <v>1402.4248761600002</v>
      </c>
    </row>
    <row r="28" spans="1:16" ht="15.75" customHeight="1" x14ac:dyDescent="0.2">
      <c r="A28" s="66" t="s">
        <v>443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</row>
    <row r="29" spans="1:16" ht="15.75" customHeight="1" x14ac:dyDescent="0.2">
      <c r="A29" s="68" t="s">
        <v>440</v>
      </c>
      <c r="B29" s="69" t="s">
        <v>15</v>
      </c>
      <c r="C29" s="70">
        <v>-1.39467487773951E-3</v>
      </c>
      <c r="D29" s="70">
        <v>-8.5030743837629097E-2</v>
      </c>
      <c r="E29" s="70">
        <v>-0.108930518386361</v>
      </c>
      <c r="F29" s="70">
        <v>5.3392658509455002E-2</v>
      </c>
      <c r="G29" s="71">
        <v>0</v>
      </c>
      <c r="H29" s="71">
        <v>0.01</v>
      </c>
      <c r="I29" s="71">
        <v>0.02</v>
      </c>
      <c r="J29" s="71">
        <v>0.03</v>
      </c>
      <c r="K29" s="71">
        <v>2.5000000000000001E-2</v>
      </c>
    </row>
    <row r="30" spans="1:16" ht="15.75" customHeight="1" x14ac:dyDescent="0.2">
      <c r="A30" s="72" t="s">
        <v>441</v>
      </c>
      <c r="B30" s="69" t="s">
        <v>15</v>
      </c>
      <c r="C30" s="70">
        <v>-1.39467487773951E-3</v>
      </c>
      <c r="D30" s="70">
        <v>-8.5030743837629097E-2</v>
      </c>
      <c r="E30" s="70">
        <v>-0.108930518386361</v>
      </c>
      <c r="F30" s="70">
        <v>5.3392658509455002E-2</v>
      </c>
      <c r="G30" s="73">
        <v>0.02</v>
      </c>
      <c r="H30" s="73">
        <v>0.03</v>
      </c>
      <c r="I30" s="73">
        <v>0.06</v>
      </c>
      <c r="J30" s="73">
        <v>7.0000000000000007E-2</v>
      </c>
      <c r="K30" s="73">
        <v>0.05</v>
      </c>
    </row>
    <row r="31" spans="1:16" ht="15.75" customHeight="1" x14ac:dyDescent="0.2">
      <c r="A31" s="74" t="s">
        <v>442</v>
      </c>
      <c r="B31" s="69" t="s">
        <v>15</v>
      </c>
      <c r="C31" s="70">
        <v>-1.39467487773951E-3</v>
      </c>
      <c r="D31" s="70">
        <v>-8.5030743837629097E-2</v>
      </c>
      <c r="E31" s="70">
        <v>-0.108930518386361</v>
      </c>
      <c r="F31" s="70">
        <v>5.3392658509455002E-2</v>
      </c>
      <c r="G31" s="75">
        <v>0.05</v>
      </c>
      <c r="H31" s="75">
        <v>0.06</v>
      </c>
      <c r="I31" s="75">
        <v>0.1</v>
      </c>
      <c r="J31" s="75">
        <v>0.12</v>
      </c>
      <c r="K31" s="75">
        <v>0.08</v>
      </c>
    </row>
    <row r="32" spans="1:16" ht="15.75" customHeight="1" x14ac:dyDescent="0.2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</row>
    <row r="33" spans="1:16" ht="18" customHeight="1" x14ac:dyDescent="0.2">
      <c r="A33" s="292" t="s">
        <v>444</v>
      </c>
      <c r="B33" s="288"/>
      <c r="C33" s="288"/>
      <c r="D33" s="288"/>
      <c r="E33" s="288"/>
      <c r="F33" s="288"/>
      <c r="G33" s="288"/>
      <c r="H33" s="288"/>
      <c r="I33" s="288"/>
      <c r="J33" s="288"/>
      <c r="K33" s="288"/>
      <c r="L33" s="289"/>
    </row>
    <row r="34" spans="1:16" ht="15.75" customHeight="1" x14ac:dyDescent="0.2">
      <c r="A34" s="59" t="s">
        <v>440</v>
      </c>
      <c r="B34" s="60">
        <v>12551.55</v>
      </c>
      <c r="C34" s="60">
        <v>12863.5</v>
      </c>
      <c r="D34" s="60">
        <v>8710.6</v>
      </c>
      <c r="E34" s="60">
        <v>9262</v>
      </c>
      <c r="F34" s="60">
        <v>13826</v>
      </c>
      <c r="G34" s="61">
        <v>13724.64</v>
      </c>
      <c r="H34" s="61">
        <v>13861.88</v>
      </c>
      <c r="I34" s="61">
        <v>14139.13</v>
      </c>
      <c r="J34" s="61">
        <v>14563.33</v>
      </c>
      <c r="K34" s="61">
        <v>14927.39</v>
      </c>
    </row>
    <row r="35" spans="1:16" ht="15.75" customHeight="1" x14ac:dyDescent="0.2">
      <c r="A35" s="62" t="s">
        <v>441</v>
      </c>
      <c r="B35" s="63">
        <v>12551.55</v>
      </c>
      <c r="C35" s="63">
        <v>12863.5</v>
      </c>
      <c r="D35" s="63">
        <v>8710.6</v>
      </c>
      <c r="E35" s="63">
        <v>9262</v>
      </c>
      <c r="F35" s="63">
        <v>13826</v>
      </c>
      <c r="G35" s="63">
        <v>13999.13</v>
      </c>
      <c r="H35" s="63">
        <v>14419.13</v>
      </c>
      <c r="I35" s="63">
        <v>15284.35</v>
      </c>
      <c r="J35" s="63">
        <v>16354.2</v>
      </c>
      <c r="K35" s="63">
        <v>17171.88</v>
      </c>
    </row>
    <row r="36" spans="1:16" ht="15.75" customHeight="1" x14ac:dyDescent="0.2">
      <c r="A36" s="64" t="s">
        <v>442</v>
      </c>
      <c r="B36" s="60">
        <v>12551.55</v>
      </c>
      <c r="C36" s="60">
        <v>12863.5</v>
      </c>
      <c r="D36" s="60">
        <v>8710.6</v>
      </c>
      <c r="E36" s="60">
        <v>9262</v>
      </c>
      <c r="F36" s="60">
        <v>13826</v>
      </c>
      <c r="G36" s="65">
        <v>14410.87</v>
      </c>
      <c r="H36" s="65">
        <v>15275.51</v>
      </c>
      <c r="I36" s="65">
        <v>16803.04</v>
      </c>
      <c r="J36" s="65">
        <v>18819.419999999998</v>
      </c>
      <c r="K36" s="65">
        <v>20324.93</v>
      </c>
    </row>
    <row r="37" spans="1:16" ht="15.75" customHeight="1" x14ac:dyDescent="0.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</row>
    <row r="38" spans="1:16" ht="15.75" customHeight="1" x14ac:dyDescent="0.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</row>
    <row r="39" spans="1:16" ht="19.5" customHeight="1" x14ac:dyDescent="0.2">
      <c r="A39" s="294" t="s">
        <v>446</v>
      </c>
      <c r="B39" s="282"/>
      <c r="C39" s="282"/>
      <c r="D39" s="282"/>
      <c r="E39" s="282"/>
      <c r="F39" s="282"/>
      <c r="G39" s="282"/>
      <c r="H39" s="282"/>
      <c r="I39" s="282"/>
      <c r="J39" s="282"/>
      <c r="K39" s="282"/>
      <c r="L39" s="282"/>
    </row>
    <row r="40" spans="1:16" ht="15.75" customHeight="1" x14ac:dyDescent="0.2">
      <c r="A40" s="303" t="s">
        <v>438</v>
      </c>
      <c r="B40" s="282"/>
      <c r="C40" s="282"/>
      <c r="D40" s="282"/>
      <c r="E40" s="282"/>
      <c r="F40" s="282"/>
      <c r="G40" s="282"/>
      <c r="H40" s="282"/>
      <c r="I40" s="282"/>
      <c r="J40" s="282"/>
      <c r="K40" s="282"/>
      <c r="L40" s="282"/>
    </row>
    <row r="41" spans="1:16" ht="19.5" customHeight="1" x14ac:dyDescent="0.2">
      <c r="A41" s="77" t="s">
        <v>439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</row>
    <row r="42" spans="1:16" ht="19.5" customHeight="1" x14ac:dyDescent="0.2">
      <c r="A42" s="59" t="s">
        <v>440</v>
      </c>
      <c r="B42" s="79" t="s">
        <v>447</v>
      </c>
      <c r="C42" s="79" t="s">
        <v>447</v>
      </c>
      <c r="D42" s="79" t="s">
        <v>447</v>
      </c>
      <c r="E42" s="80">
        <v>395</v>
      </c>
      <c r="F42" s="80">
        <v>436</v>
      </c>
      <c r="G42" s="81">
        <f>F42*(1+G46)</f>
        <v>457.8</v>
      </c>
      <c r="H42" s="81">
        <f t="shared" ref="H42:K42" si="5">G42*(1+H46)</f>
        <v>480.69000000000005</v>
      </c>
      <c r="I42" s="81">
        <f t="shared" si="5"/>
        <v>504.72450000000009</v>
      </c>
      <c r="J42" s="81">
        <f t="shared" si="5"/>
        <v>529.96072500000014</v>
      </c>
      <c r="K42" s="81">
        <f t="shared" si="5"/>
        <v>556.45876125000018</v>
      </c>
    </row>
    <row r="43" spans="1:16" ht="19.5" customHeight="1" x14ac:dyDescent="0.2">
      <c r="A43" s="62" t="s">
        <v>441</v>
      </c>
      <c r="B43" s="79" t="s">
        <v>447</v>
      </c>
      <c r="C43" s="79" t="s">
        <v>447</v>
      </c>
      <c r="D43" s="79" t="s">
        <v>447</v>
      </c>
      <c r="E43" s="80">
        <v>395</v>
      </c>
      <c r="F43" s="80">
        <v>436</v>
      </c>
      <c r="G43" s="82">
        <f>F43*(1+G47)</f>
        <v>523.19999999999993</v>
      </c>
      <c r="H43" s="82">
        <f t="shared" ref="H43:K43" si="6">G43*(1+H47)</f>
        <v>653.99999999999989</v>
      </c>
      <c r="I43" s="82">
        <f t="shared" si="6"/>
        <v>882.89999999999986</v>
      </c>
      <c r="J43" s="82">
        <f t="shared" si="6"/>
        <v>1015.3349999999998</v>
      </c>
      <c r="K43" s="82">
        <f t="shared" si="6"/>
        <v>1116.8684999999998</v>
      </c>
    </row>
    <row r="44" spans="1:16" ht="19.5" customHeight="1" x14ac:dyDescent="0.2">
      <c r="A44" s="64" t="s">
        <v>442</v>
      </c>
      <c r="B44" s="79" t="s">
        <v>447</v>
      </c>
      <c r="C44" s="79" t="s">
        <v>447</v>
      </c>
      <c r="D44" s="79" t="s">
        <v>447</v>
      </c>
      <c r="E44" s="80">
        <v>395</v>
      </c>
      <c r="F44" s="80">
        <v>436</v>
      </c>
      <c r="G44" s="83">
        <f>F44*(1+G48)</f>
        <v>545</v>
      </c>
      <c r="H44" s="83">
        <f t="shared" ref="H44:K44" si="7">G44*(1+H48)</f>
        <v>735.75</v>
      </c>
      <c r="I44" s="83">
        <f t="shared" si="7"/>
        <v>1030.05</v>
      </c>
      <c r="J44" s="83">
        <f t="shared" si="7"/>
        <v>1236.06</v>
      </c>
      <c r="K44" s="83">
        <f t="shared" si="7"/>
        <v>1421.4689999999998</v>
      </c>
    </row>
    <row r="45" spans="1:16" ht="19.5" customHeight="1" x14ac:dyDescent="0.2">
      <c r="A45" s="66" t="s">
        <v>443</v>
      </c>
    </row>
    <row r="46" spans="1:16" ht="19.5" customHeight="1" x14ac:dyDescent="0.2">
      <c r="A46" s="68" t="s">
        <v>440</v>
      </c>
      <c r="B46" s="84" t="s">
        <v>15</v>
      </c>
      <c r="C46" s="79" t="s">
        <v>447</v>
      </c>
      <c r="D46" s="79" t="s">
        <v>447</v>
      </c>
      <c r="E46" s="79" t="s">
        <v>447</v>
      </c>
      <c r="F46" s="85">
        <f>(F42-E42)/F42</f>
        <v>9.4036697247706427E-2</v>
      </c>
      <c r="G46" s="86">
        <v>0.05</v>
      </c>
      <c r="H46" s="86">
        <v>0.05</v>
      </c>
      <c r="I46" s="86">
        <v>0.05</v>
      </c>
      <c r="J46" s="86">
        <v>0.05</v>
      </c>
      <c r="K46" s="86">
        <v>0.05</v>
      </c>
    </row>
    <row r="47" spans="1:16" ht="19.5" customHeight="1" x14ac:dyDescent="0.2">
      <c r="A47" s="72" t="s">
        <v>448</v>
      </c>
      <c r="B47" s="84"/>
      <c r="C47" s="79" t="s">
        <v>447</v>
      </c>
      <c r="D47" s="79" t="s">
        <v>447</v>
      </c>
      <c r="E47" s="79" t="s">
        <v>447</v>
      </c>
      <c r="F47" s="85">
        <f>(F43-E43)/F43</f>
        <v>9.4036697247706427E-2</v>
      </c>
      <c r="G47" s="87">
        <v>0.2</v>
      </c>
      <c r="H47" s="87">
        <v>0.25</v>
      </c>
      <c r="I47" s="87">
        <v>0.35</v>
      </c>
      <c r="J47" s="87">
        <v>0.15</v>
      </c>
      <c r="K47" s="87">
        <v>0.1</v>
      </c>
    </row>
    <row r="48" spans="1:16" ht="15.75" customHeight="1" x14ac:dyDescent="0.2">
      <c r="A48" s="74" t="s">
        <v>442</v>
      </c>
      <c r="B48" s="84" t="s">
        <v>15</v>
      </c>
      <c r="C48" s="79" t="s">
        <v>447</v>
      </c>
      <c r="D48" s="79" t="s">
        <v>447</v>
      </c>
      <c r="E48" s="79" t="s">
        <v>447</v>
      </c>
      <c r="F48" s="85">
        <f>(F44-E44)/F44</f>
        <v>9.4036697247706427E-2</v>
      </c>
      <c r="G48" s="88">
        <v>0.25</v>
      </c>
      <c r="H48" s="88">
        <v>0.35</v>
      </c>
      <c r="I48" s="88">
        <v>0.4</v>
      </c>
      <c r="J48" s="88">
        <v>0.2</v>
      </c>
      <c r="K48" s="88">
        <v>0.15</v>
      </c>
    </row>
    <row r="49" spans="1:12" ht="15.75" customHeight="1" x14ac:dyDescent="0.2"/>
    <row r="50" spans="1:12" ht="15.75" customHeight="1" x14ac:dyDescent="0.2">
      <c r="A50" s="298" t="s">
        <v>444</v>
      </c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282"/>
    </row>
    <row r="51" spans="1:12" ht="15.75" customHeight="1" x14ac:dyDescent="0.2">
      <c r="A51" s="59" t="s">
        <v>440</v>
      </c>
      <c r="B51" s="79" t="s">
        <v>447</v>
      </c>
      <c r="C51" s="79" t="s">
        <v>447</v>
      </c>
      <c r="D51" s="79" t="s">
        <v>447</v>
      </c>
      <c r="E51" s="80">
        <v>1108</v>
      </c>
      <c r="F51" s="80">
        <v>1049</v>
      </c>
      <c r="G51" s="81">
        <v>1193</v>
      </c>
      <c r="H51" s="81">
        <v>1252.7</v>
      </c>
      <c r="I51" s="81">
        <v>1315.3</v>
      </c>
      <c r="J51" s="81">
        <v>1381.1</v>
      </c>
      <c r="K51" s="81">
        <v>1450.1</v>
      </c>
    </row>
    <row r="52" spans="1:12" ht="15.75" customHeight="1" x14ac:dyDescent="0.2">
      <c r="A52" s="62" t="s">
        <v>441</v>
      </c>
      <c r="B52" s="79" t="s">
        <v>447</v>
      </c>
      <c r="C52" s="79" t="s">
        <v>447</v>
      </c>
      <c r="D52" s="79" t="s">
        <v>447</v>
      </c>
      <c r="E52" s="80">
        <v>1108</v>
      </c>
      <c r="F52" s="80">
        <v>1049</v>
      </c>
      <c r="G52" s="82">
        <v>1363.5</v>
      </c>
      <c r="H52" s="82">
        <v>1704.3</v>
      </c>
      <c r="I52" s="82">
        <v>2300.8000000000002</v>
      </c>
      <c r="J52" s="82">
        <v>2645.9</v>
      </c>
      <c r="K52" s="82">
        <v>2910.5</v>
      </c>
    </row>
    <row r="53" spans="1:12" ht="15.75" customHeight="1" x14ac:dyDescent="0.2">
      <c r="A53" s="64" t="s">
        <v>442</v>
      </c>
      <c r="B53" s="79" t="s">
        <v>447</v>
      </c>
      <c r="C53" s="79" t="s">
        <v>447</v>
      </c>
      <c r="D53" s="79" t="s">
        <v>447</v>
      </c>
      <c r="E53" s="80">
        <v>1108</v>
      </c>
      <c r="F53" s="80">
        <v>1049</v>
      </c>
      <c r="G53" s="83">
        <v>1420.3</v>
      </c>
      <c r="H53" s="83">
        <v>1917.4</v>
      </c>
      <c r="I53" s="83">
        <v>2684.3</v>
      </c>
      <c r="J53" s="83">
        <v>3221.2</v>
      </c>
      <c r="K53" s="83">
        <v>3704.4</v>
      </c>
    </row>
    <row r="54" spans="1:12" ht="15.75" customHeight="1" x14ac:dyDescent="0.2"/>
    <row r="55" spans="1:12" ht="15.75" customHeight="1" x14ac:dyDescent="0.2"/>
    <row r="56" spans="1:12" ht="15.75" customHeight="1" x14ac:dyDescent="0.2"/>
    <row r="57" spans="1:12" ht="15.75" customHeight="1" x14ac:dyDescent="0.2">
      <c r="A57" s="294" t="s">
        <v>449</v>
      </c>
      <c r="B57" s="282"/>
      <c r="C57" s="282"/>
      <c r="D57" s="282"/>
      <c r="E57" s="282"/>
      <c r="F57" s="282"/>
      <c r="G57" s="282"/>
      <c r="H57" s="282"/>
      <c r="I57" s="282"/>
      <c r="J57" s="282"/>
      <c r="K57" s="282"/>
      <c r="L57" s="282"/>
    </row>
    <row r="58" spans="1:12" ht="15.75" customHeight="1" x14ac:dyDescent="0.2">
      <c r="A58" s="303" t="s">
        <v>438</v>
      </c>
      <c r="B58" s="282"/>
      <c r="C58" s="282"/>
      <c r="D58" s="282"/>
      <c r="E58" s="282"/>
      <c r="F58" s="282"/>
      <c r="G58" s="282"/>
      <c r="H58" s="282"/>
      <c r="I58" s="282"/>
      <c r="J58" s="282"/>
      <c r="K58" s="282"/>
      <c r="L58" s="282"/>
    </row>
    <row r="59" spans="1:12" ht="15.75" customHeight="1" x14ac:dyDescent="0.2">
      <c r="A59" s="77" t="s">
        <v>439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</row>
    <row r="60" spans="1:12" ht="15.75" customHeight="1" x14ac:dyDescent="0.2">
      <c r="A60" s="59" t="s">
        <v>440</v>
      </c>
      <c r="B60" s="79" t="s">
        <v>447</v>
      </c>
      <c r="C60" s="79" t="s">
        <v>447</v>
      </c>
      <c r="D60" s="79" t="s">
        <v>447</v>
      </c>
      <c r="E60" s="80">
        <v>536</v>
      </c>
      <c r="F60" s="80">
        <v>558</v>
      </c>
      <c r="G60" s="81">
        <f>F60*(1+G64)</f>
        <v>558</v>
      </c>
      <c r="H60" s="81">
        <v>558</v>
      </c>
      <c r="I60" s="81">
        <v>563.6</v>
      </c>
      <c r="J60" s="81">
        <v>569.20000000000005</v>
      </c>
      <c r="K60" s="81">
        <v>574.9</v>
      </c>
    </row>
    <row r="61" spans="1:12" ht="15.75" customHeight="1" x14ac:dyDescent="0.2">
      <c r="A61" s="62" t="s">
        <v>441</v>
      </c>
      <c r="B61" s="79" t="s">
        <v>447</v>
      </c>
      <c r="C61" s="79" t="s">
        <v>447</v>
      </c>
      <c r="D61" s="79" t="s">
        <v>447</v>
      </c>
      <c r="E61" s="80">
        <v>536</v>
      </c>
      <c r="F61" s="80">
        <v>558</v>
      </c>
      <c r="G61" s="82">
        <v>574.70000000000005</v>
      </c>
      <c r="H61" s="82">
        <v>597.70000000000005</v>
      </c>
      <c r="I61" s="82">
        <v>627.6</v>
      </c>
      <c r="J61" s="82">
        <v>659</v>
      </c>
      <c r="K61" s="82">
        <v>692</v>
      </c>
    </row>
    <row r="62" spans="1:12" ht="15.75" customHeight="1" x14ac:dyDescent="0.2">
      <c r="A62" s="64" t="s">
        <v>442</v>
      </c>
      <c r="B62" s="79" t="s">
        <v>447</v>
      </c>
      <c r="C62" s="79" t="s">
        <v>447</v>
      </c>
      <c r="D62" s="79" t="s">
        <v>447</v>
      </c>
      <c r="E62" s="80">
        <v>536</v>
      </c>
      <c r="F62" s="80">
        <v>558</v>
      </c>
      <c r="G62" s="83">
        <v>589.80600000000004</v>
      </c>
      <c r="H62" s="83">
        <v>638.79999999999995</v>
      </c>
      <c r="I62" s="83">
        <v>696.3</v>
      </c>
      <c r="J62" s="83">
        <v>759</v>
      </c>
      <c r="K62" s="83">
        <v>819.7</v>
      </c>
    </row>
    <row r="63" spans="1:12" ht="15.75" customHeight="1" x14ac:dyDescent="0.2">
      <c r="A63" s="66" t="s">
        <v>443</v>
      </c>
    </row>
    <row r="64" spans="1:12" ht="15.75" customHeight="1" x14ac:dyDescent="0.2">
      <c r="A64" s="68" t="s">
        <v>440</v>
      </c>
      <c r="B64" s="84" t="s">
        <v>15</v>
      </c>
      <c r="C64" s="79" t="s">
        <v>447</v>
      </c>
      <c r="D64" s="79" t="s">
        <v>447</v>
      </c>
      <c r="E64" s="79" t="s">
        <v>447</v>
      </c>
      <c r="F64" s="85">
        <f>(F60-E60)/F60</f>
        <v>3.9426523297491037E-2</v>
      </c>
      <c r="G64" s="86">
        <v>0</v>
      </c>
      <c r="H64" s="86">
        <v>0</v>
      </c>
      <c r="I64" s="86">
        <v>0.01</v>
      </c>
      <c r="J64" s="86">
        <v>0.01</v>
      </c>
      <c r="K64" s="86">
        <v>0.01</v>
      </c>
    </row>
    <row r="65" spans="1:12" ht="15.75" customHeight="1" x14ac:dyDescent="0.2">
      <c r="A65" s="72" t="s">
        <v>441</v>
      </c>
      <c r="B65" s="84" t="s">
        <v>15</v>
      </c>
      <c r="C65" s="79" t="s">
        <v>447</v>
      </c>
      <c r="D65" s="79" t="s">
        <v>447</v>
      </c>
      <c r="E65" s="79" t="s">
        <v>447</v>
      </c>
      <c r="F65" s="85">
        <f>(F61-E61)/F61</f>
        <v>3.9426523297491037E-2</v>
      </c>
      <c r="G65" s="87">
        <f>(G61-F61)/G61</f>
        <v>2.9058639290064459E-2</v>
      </c>
      <c r="H65" s="87">
        <v>0.04</v>
      </c>
      <c r="I65" s="87">
        <v>0.05</v>
      </c>
      <c r="J65" s="87">
        <v>0.05</v>
      </c>
      <c r="K65" s="87">
        <v>0.05</v>
      </c>
    </row>
    <row r="66" spans="1:12" ht="15.75" customHeight="1" x14ac:dyDescent="0.2">
      <c r="A66" s="74" t="s">
        <v>442</v>
      </c>
      <c r="B66" s="84" t="s">
        <v>15</v>
      </c>
      <c r="C66" s="79" t="s">
        <v>447</v>
      </c>
      <c r="D66" s="79" t="s">
        <v>447</v>
      </c>
      <c r="E66" s="79" t="s">
        <v>447</v>
      </c>
      <c r="F66" s="85">
        <f>(F62-E62)/F62</f>
        <v>3.9426523297491037E-2</v>
      </c>
      <c r="G66" s="88">
        <f>(G62-F62)/G62</f>
        <v>5.3926206244087102E-2</v>
      </c>
      <c r="H66" s="88">
        <v>0.08</v>
      </c>
      <c r="I66" s="88">
        <v>0.09</v>
      </c>
      <c r="J66" s="88">
        <v>0.09</v>
      </c>
      <c r="K66" s="88">
        <v>0.08</v>
      </c>
    </row>
    <row r="67" spans="1:12" ht="15.75" customHeight="1" x14ac:dyDescent="0.2"/>
    <row r="68" spans="1:12" ht="15.75" customHeight="1" x14ac:dyDescent="0.2">
      <c r="A68" s="298" t="s">
        <v>444</v>
      </c>
      <c r="B68" s="282"/>
      <c r="C68" s="282"/>
      <c r="D68" s="282"/>
      <c r="E68" s="282"/>
      <c r="F68" s="282"/>
      <c r="G68" s="282"/>
      <c r="H68" s="282"/>
      <c r="I68" s="282"/>
      <c r="J68" s="282"/>
      <c r="K68" s="282"/>
      <c r="L68" s="282"/>
    </row>
    <row r="69" spans="1:12" ht="15.75" customHeight="1" x14ac:dyDescent="0.2">
      <c r="A69" s="59" t="s">
        <v>440</v>
      </c>
      <c r="B69" s="79" t="s">
        <v>447</v>
      </c>
      <c r="C69" s="79" t="s">
        <v>447</v>
      </c>
      <c r="D69" s="79" t="s">
        <v>447</v>
      </c>
      <c r="E69" s="80">
        <v>1423</v>
      </c>
      <c r="F69" s="80">
        <v>1564</v>
      </c>
      <c r="G69" s="81">
        <v>1522.8</v>
      </c>
      <c r="H69" s="81">
        <v>1522.8</v>
      </c>
      <c r="I69" s="81">
        <v>1538</v>
      </c>
      <c r="J69" s="81">
        <v>1553.4</v>
      </c>
      <c r="K69" s="81">
        <v>1568.9</v>
      </c>
    </row>
    <row r="70" spans="1:12" ht="15.75" customHeight="1" x14ac:dyDescent="0.2">
      <c r="A70" s="62" t="s">
        <v>441</v>
      </c>
      <c r="B70" s="79" t="s">
        <v>447</v>
      </c>
      <c r="C70" s="79" t="s">
        <v>447</v>
      </c>
      <c r="D70" s="79" t="s">
        <v>447</v>
      </c>
      <c r="E70" s="80">
        <v>1423</v>
      </c>
      <c r="F70" s="80">
        <v>1564</v>
      </c>
      <c r="G70" s="82">
        <v>1568.5</v>
      </c>
      <c r="H70" s="82">
        <v>1631.2</v>
      </c>
      <c r="I70" s="82">
        <v>1712.8</v>
      </c>
      <c r="J70" s="82">
        <v>1798.4</v>
      </c>
      <c r="K70" s="82">
        <v>1888.3</v>
      </c>
    </row>
    <row r="71" spans="1:12" ht="15.75" customHeight="1" x14ac:dyDescent="0.2">
      <c r="A71" s="64" t="s">
        <v>442</v>
      </c>
      <c r="B71" s="79" t="s">
        <v>447</v>
      </c>
      <c r="C71" s="79" t="s">
        <v>447</v>
      </c>
      <c r="D71" s="79" t="s">
        <v>447</v>
      </c>
      <c r="E71" s="80">
        <v>1423</v>
      </c>
      <c r="F71" s="80">
        <v>1564</v>
      </c>
      <c r="G71" s="83">
        <v>1614.1</v>
      </c>
      <c r="H71" s="83">
        <v>1743.3</v>
      </c>
      <c r="I71" s="83">
        <v>1900.2</v>
      </c>
      <c r="J71" s="83">
        <v>2071.1999999999998</v>
      </c>
      <c r="K71" s="83">
        <v>2236.9</v>
      </c>
    </row>
    <row r="72" spans="1:12" ht="15.75" customHeight="1" x14ac:dyDescent="0.2">
      <c r="A72" s="89"/>
      <c r="B72" s="79"/>
      <c r="C72" s="79"/>
      <c r="D72" s="79"/>
      <c r="E72" s="80"/>
      <c r="F72" s="80"/>
      <c r="G72" s="80"/>
      <c r="H72" s="80"/>
      <c r="I72" s="80"/>
      <c r="J72" s="80"/>
      <c r="K72" s="80"/>
    </row>
    <row r="73" spans="1:12" ht="15.75" customHeight="1" x14ac:dyDescent="0.2">
      <c r="A73" s="89"/>
      <c r="B73" s="79"/>
      <c r="C73" s="79"/>
      <c r="D73" s="79"/>
      <c r="E73" s="80"/>
      <c r="F73" s="80"/>
      <c r="G73" s="80"/>
      <c r="H73" s="80"/>
      <c r="I73" s="80"/>
      <c r="J73" s="80"/>
      <c r="K73" s="80"/>
    </row>
    <row r="74" spans="1:12" ht="15.75" customHeight="1" x14ac:dyDescent="0.2">
      <c r="A74" s="59" t="s">
        <v>450</v>
      </c>
      <c r="B74" s="90">
        <f>SUM(B8+B25+'Income Statement'!B60)</f>
        <v>3963.3100000000004</v>
      </c>
      <c r="C74" s="90">
        <f>SUM(C8+C25+'Income Statement'!C60)</f>
        <v>4155.1970000000001</v>
      </c>
      <c r="D74" s="90">
        <f>SUM(D8+D25+'Income Statement'!D60)</f>
        <v>3875.7</v>
      </c>
      <c r="E74" s="80">
        <f t="shared" ref="E74:K76" si="8">SUM(E8+E25+E42+E60)</f>
        <v>3496</v>
      </c>
      <c r="F74" s="80">
        <f t="shared" si="8"/>
        <v>3609</v>
      </c>
      <c r="G74" s="81">
        <f t="shared" si="8"/>
        <v>3597.4400000000005</v>
      </c>
      <c r="H74" s="81">
        <f t="shared" si="8"/>
        <v>3597.11</v>
      </c>
      <c r="I74" s="81">
        <f t="shared" si="8"/>
        <v>3621.8439000000003</v>
      </c>
      <c r="J74" s="81">
        <f t="shared" si="8"/>
        <v>3666.1681070000004</v>
      </c>
      <c r="K74" s="81">
        <f t="shared" si="8"/>
        <v>3707.8678278000002</v>
      </c>
    </row>
    <row r="75" spans="1:12" ht="15.75" customHeight="1" x14ac:dyDescent="0.2">
      <c r="A75" s="62" t="s">
        <v>451</v>
      </c>
      <c r="B75" s="90">
        <f>SUM(B8+B25+'Income Statement'!B60)</f>
        <v>3963.3100000000004</v>
      </c>
      <c r="C75" s="90">
        <f>SUM(C8+C25+'Income Statement'!C60)</f>
        <v>4155.1970000000001</v>
      </c>
      <c r="D75" s="90">
        <f>SUM(D8+D25+'Income Statement'!D60)</f>
        <v>3875.7</v>
      </c>
      <c r="E75" s="80">
        <f t="shared" si="8"/>
        <v>3496</v>
      </c>
      <c r="F75" s="80">
        <f t="shared" si="8"/>
        <v>3609</v>
      </c>
      <c r="G75" s="82">
        <f t="shared" si="8"/>
        <v>3740.1799999999994</v>
      </c>
      <c r="H75" s="82">
        <f t="shared" si="8"/>
        <v>3931.3398999999999</v>
      </c>
      <c r="I75" s="82">
        <f t="shared" si="8"/>
        <v>4249.8349920000001</v>
      </c>
      <c r="J75" s="82">
        <f t="shared" si="8"/>
        <v>4487.4929224400003</v>
      </c>
      <c r="K75" s="82">
        <f t="shared" si="8"/>
        <v>4678.4482335619996</v>
      </c>
    </row>
    <row r="76" spans="1:12" ht="15.75" customHeight="1" x14ac:dyDescent="0.2">
      <c r="A76" s="64" t="s">
        <v>452</v>
      </c>
      <c r="B76" s="90">
        <f>SUM(B8+B25+'Income Statement'!B60)</f>
        <v>3963.3100000000004</v>
      </c>
      <c r="C76" s="90">
        <f>SUM(C8+C25+'Income Statement'!C60)</f>
        <v>4155.1970000000001</v>
      </c>
      <c r="D76" s="90">
        <f>SUM(D8+D25+'Income Statement'!D60)</f>
        <v>3875.7</v>
      </c>
      <c r="E76" s="80">
        <f t="shared" si="8"/>
        <v>3496</v>
      </c>
      <c r="F76" s="80">
        <f t="shared" si="8"/>
        <v>3609</v>
      </c>
      <c r="G76" s="83">
        <f t="shared" si="8"/>
        <v>3822.1759999999999</v>
      </c>
      <c r="H76" s="83">
        <f t="shared" si="8"/>
        <v>4146.9809999999998</v>
      </c>
      <c r="I76" s="83">
        <f t="shared" si="8"/>
        <v>4638.5520999999999</v>
      </c>
      <c r="J76" s="83">
        <f t="shared" si="8"/>
        <v>5055.1555019999996</v>
      </c>
      <c r="K76" s="83">
        <f t="shared" si="8"/>
        <v>5413.9555959099998</v>
      </c>
    </row>
    <row r="77" spans="1:12" ht="15.75" customHeight="1" x14ac:dyDescent="0.2"/>
    <row r="78" spans="1:12" ht="15.75" customHeight="1" x14ac:dyDescent="0.2"/>
    <row r="79" spans="1:12" ht="15.75" customHeight="1" x14ac:dyDescent="0.2">
      <c r="A79" s="306" t="s">
        <v>453</v>
      </c>
      <c r="B79" s="282"/>
      <c r="C79" s="282"/>
      <c r="D79" s="282"/>
      <c r="E79" s="282"/>
      <c r="F79" s="282"/>
      <c r="G79" s="282"/>
      <c r="H79" s="282"/>
      <c r="I79" s="282"/>
      <c r="J79" s="282"/>
      <c r="K79" s="282"/>
    </row>
    <row r="80" spans="1:12" ht="15.75" customHeight="1" x14ac:dyDescent="0.2">
      <c r="A80" s="305"/>
      <c r="B80" s="282"/>
      <c r="C80" s="282"/>
      <c r="D80" s="282"/>
      <c r="E80" s="282"/>
      <c r="F80" s="282"/>
      <c r="G80" s="282"/>
      <c r="H80" s="282"/>
      <c r="I80" s="282"/>
      <c r="J80" s="282"/>
      <c r="K80" s="282"/>
    </row>
    <row r="81" spans="1:11" ht="15.75" customHeight="1" x14ac:dyDescent="0.2"/>
    <row r="82" spans="1:11" ht="15.75" customHeight="1" x14ac:dyDescent="0.2"/>
    <row r="83" spans="1:11" ht="15.75" customHeight="1" x14ac:dyDescent="0.2">
      <c r="A83" s="294" t="s">
        <v>437</v>
      </c>
      <c r="B83" s="282"/>
      <c r="C83" s="282"/>
      <c r="D83" s="282"/>
      <c r="E83" s="282"/>
      <c r="F83" s="282"/>
      <c r="G83" s="282"/>
      <c r="H83" s="282"/>
      <c r="I83" s="282"/>
      <c r="J83" s="282"/>
      <c r="K83" s="282"/>
    </row>
    <row r="84" spans="1:11" ht="15.75" customHeight="1" x14ac:dyDescent="0.2">
      <c r="A84" s="293" t="s">
        <v>454</v>
      </c>
      <c r="B84" s="282"/>
      <c r="C84" s="282"/>
      <c r="D84" s="282"/>
      <c r="E84" s="282"/>
      <c r="F84" s="282"/>
      <c r="G84" s="282"/>
      <c r="H84" s="282"/>
      <c r="I84" s="282"/>
      <c r="J84" s="282"/>
      <c r="K84" s="282"/>
    </row>
    <row r="85" spans="1:11" ht="15.75" customHeight="1" x14ac:dyDescent="0.2">
      <c r="A85" s="91" t="s">
        <v>440</v>
      </c>
      <c r="B85" s="92">
        <f>'Income Statement'!B34</f>
        <v>0.19362990822749143</v>
      </c>
      <c r="C85" s="92">
        <f>'Income Statement'!C34</f>
        <v>0.19257523350270961</v>
      </c>
      <c r="D85" s="92">
        <f>'Income Statement'!D34</f>
        <v>0.20229961673054492</v>
      </c>
      <c r="E85" s="92">
        <f>'Income Statement'!E34</f>
        <v>0.21716686674669869</v>
      </c>
      <c r="F85" s="92">
        <f>'Income Statement'!F34</f>
        <v>0.22979616306954437</v>
      </c>
      <c r="G85" s="93">
        <v>0.215</v>
      </c>
      <c r="H85" s="93">
        <v>0.20499999999999999</v>
      </c>
      <c r="I85" s="93">
        <v>0.2</v>
      </c>
      <c r="J85" s="93">
        <v>0.19500000000000001</v>
      </c>
      <c r="K85" s="93">
        <v>0.19</v>
      </c>
    </row>
    <row r="86" spans="1:11" ht="15.75" customHeight="1" x14ac:dyDescent="0.2">
      <c r="A86" s="94" t="s">
        <v>441</v>
      </c>
      <c r="B86" s="95">
        <f t="shared" ref="B86:F87" si="9">B85</f>
        <v>0.19362990822749143</v>
      </c>
      <c r="C86" s="95">
        <f t="shared" si="9"/>
        <v>0.19257523350270961</v>
      </c>
      <c r="D86" s="95">
        <f t="shared" si="9"/>
        <v>0.20229961673054492</v>
      </c>
      <c r="E86" s="95">
        <f t="shared" si="9"/>
        <v>0.21716686674669869</v>
      </c>
      <c r="F86" s="95">
        <f>F85</f>
        <v>0.22979616306954437</v>
      </c>
      <c r="G86" s="96">
        <v>0.22500000000000001</v>
      </c>
      <c r="H86" s="96">
        <v>0.22500000000000001</v>
      </c>
      <c r="I86" s="96">
        <v>0.22</v>
      </c>
      <c r="J86" s="96">
        <v>0.22</v>
      </c>
      <c r="K86" s="96">
        <v>0.22</v>
      </c>
    </row>
    <row r="87" spans="1:11" ht="15.75" customHeight="1" x14ac:dyDescent="0.2">
      <c r="A87" s="97" t="s">
        <v>442</v>
      </c>
      <c r="B87" s="92">
        <f t="shared" si="9"/>
        <v>0.19362990822749143</v>
      </c>
      <c r="C87" s="92">
        <f t="shared" si="9"/>
        <v>0.19257523350270961</v>
      </c>
      <c r="D87" s="92">
        <f t="shared" si="9"/>
        <v>0.20229961673054492</v>
      </c>
      <c r="E87" s="92">
        <f t="shared" si="9"/>
        <v>0.21716686674669869</v>
      </c>
      <c r="F87" s="92">
        <f t="shared" si="9"/>
        <v>0.22979616306954437</v>
      </c>
      <c r="G87" s="98">
        <v>0.23</v>
      </c>
      <c r="H87" s="98">
        <v>0.23499999999999999</v>
      </c>
      <c r="I87" s="98">
        <v>0.24</v>
      </c>
      <c r="J87" s="98">
        <v>0.24</v>
      </c>
      <c r="K87" s="98">
        <v>0.24</v>
      </c>
    </row>
    <row r="88" spans="1:11" ht="15.75" customHeight="1" x14ac:dyDescent="0.2"/>
    <row r="89" spans="1:11" ht="15.75" customHeight="1" x14ac:dyDescent="0.2">
      <c r="A89" s="298" t="s">
        <v>455</v>
      </c>
      <c r="B89" s="282"/>
      <c r="C89" s="282"/>
      <c r="D89" s="282"/>
      <c r="E89" s="282"/>
      <c r="F89" s="282"/>
      <c r="G89" s="282"/>
      <c r="H89" s="282"/>
      <c r="I89" s="282"/>
      <c r="J89" s="282"/>
      <c r="K89" s="282"/>
    </row>
    <row r="90" spans="1:11" ht="15.75" customHeight="1" x14ac:dyDescent="0.2">
      <c r="A90" s="91" t="s">
        <v>440</v>
      </c>
      <c r="B90" s="99">
        <f>'Income Statement'!B33</f>
        <v>326.40000000000003</v>
      </c>
      <c r="C90" s="99">
        <f>'Income Statement'!C33</f>
        <v>341.84800000000001</v>
      </c>
      <c r="D90" s="99">
        <f>'Income Statement'!D33</f>
        <v>364.20000000000005</v>
      </c>
      <c r="E90" s="99">
        <f>'Income Statement'!E33</f>
        <v>361.8</v>
      </c>
      <c r="F90" s="99">
        <f>'Income Statement'!F33</f>
        <v>383.3</v>
      </c>
      <c r="G90" s="100">
        <f>G85*G8</f>
        <v>351.44760000000002</v>
      </c>
      <c r="H90" s="100">
        <f>H85*H8</f>
        <v>328.39974999999998</v>
      </c>
      <c r="I90" s="100">
        <f>I85*I8</f>
        <v>315.58400000000006</v>
      </c>
      <c r="J90" s="100">
        <f>J85*J8</f>
        <v>304.61730000000006</v>
      </c>
      <c r="K90" s="100">
        <f>K85*K8</f>
        <v>293.83879999999999</v>
      </c>
    </row>
    <row r="91" spans="1:11" ht="15.75" customHeight="1" x14ac:dyDescent="0.2">
      <c r="A91" s="94" t="s">
        <v>441</v>
      </c>
      <c r="B91" s="101">
        <f t="shared" ref="B91:F92" si="10">B90</f>
        <v>326.40000000000003</v>
      </c>
      <c r="C91" s="101">
        <f t="shared" si="10"/>
        <v>341.84800000000001</v>
      </c>
      <c r="D91" s="101">
        <f t="shared" si="10"/>
        <v>364.20000000000005</v>
      </c>
      <c r="E91" s="101">
        <f t="shared" si="10"/>
        <v>361.8</v>
      </c>
      <c r="F91" s="101">
        <f t="shared" si="10"/>
        <v>383.3</v>
      </c>
      <c r="G91" s="102">
        <f>G86*G9</f>
        <v>377.17649999999998</v>
      </c>
      <c r="H91" s="102">
        <f>H86*H9</f>
        <v>379.06238249999996</v>
      </c>
      <c r="I91" s="102">
        <f>I86*I9</f>
        <v>370.63877399999996</v>
      </c>
      <c r="J91" s="102">
        <f>J86*J9</f>
        <v>370.63877399999996</v>
      </c>
      <c r="K91" s="102">
        <f>K86*K9</f>
        <v>370.63877399999996</v>
      </c>
    </row>
    <row r="92" spans="1:11" ht="15.75" customHeight="1" x14ac:dyDescent="0.2">
      <c r="A92" s="97" t="s">
        <v>442</v>
      </c>
      <c r="B92" s="99">
        <f t="shared" si="10"/>
        <v>326.40000000000003</v>
      </c>
      <c r="C92" s="99">
        <f t="shared" si="10"/>
        <v>341.84800000000001</v>
      </c>
      <c r="D92" s="99">
        <f t="shared" si="10"/>
        <v>364.20000000000005</v>
      </c>
      <c r="E92" s="99">
        <f t="shared" si="10"/>
        <v>361.8</v>
      </c>
      <c r="F92" s="99">
        <f t="shared" si="10"/>
        <v>383.3</v>
      </c>
      <c r="G92" s="103">
        <f>G87*G10</f>
        <v>389.39460000000003</v>
      </c>
      <c r="H92" s="103">
        <f>H87*H10</f>
        <v>403.82869999999997</v>
      </c>
      <c r="I92" s="103">
        <f>I87*I10</f>
        <v>420.6696</v>
      </c>
      <c r="J92" s="103">
        <f>J87*J10</f>
        <v>422.77294799999993</v>
      </c>
      <c r="K92" s="103">
        <f>K87*K10</f>
        <v>424.88681273999987</v>
      </c>
    </row>
    <row r="93" spans="1:11" ht="15.75" customHeight="1" x14ac:dyDescent="0.2"/>
    <row r="94" spans="1:11" ht="15.75" customHeight="1" x14ac:dyDescent="0.2">
      <c r="A94" s="294" t="s">
        <v>445</v>
      </c>
      <c r="B94" s="282"/>
      <c r="C94" s="282"/>
      <c r="D94" s="282"/>
      <c r="E94" s="282"/>
      <c r="F94" s="282"/>
      <c r="G94" s="282"/>
      <c r="H94" s="282"/>
      <c r="I94" s="282"/>
      <c r="J94" s="282"/>
      <c r="K94" s="282"/>
    </row>
    <row r="95" spans="1:11" ht="15.75" customHeight="1" x14ac:dyDescent="0.2">
      <c r="A95" s="293" t="s">
        <v>454</v>
      </c>
      <c r="B95" s="282"/>
      <c r="C95" s="282"/>
      <c r="D95" s="282"/>
      <c r="E95" s="282"/>
      <c r="F95" s="282"/>
      <c r="G95" s="282"/>
      <c r="H95" s="282"/>
      <c r="I95" s="282"/>
      <c r="J95" s="282"/>
      <c r="K95" s="282"/>
    </row>
    <row r="96" spans="1:11" ht="15.75" customHeight="1" x14ac:dyDescent="0.2">
      <c r="A96" s="91" t="s">
        <v>440</v>
      </c>
      <c r="B96" s="92">
        <f>'Income Statement'!B158</f>
        <v>0.51883716717985839</v>
      </c>
      <c r="C96" s="92">
        <f>'Income Statement'!C158</f>
        <v>0.41980302178368678</v>
      </c>
      <c r="D96" s="92">
        <f>'Income Statement'!D158</f>
        <v>0.2926950143720885</v>
      </c>
      <c r="E96" s="92">
        <f>'Income Statement'!E158</f>
        <v>0.32547274749721916</v>
      </c>
      <c r="F96" s="92">
        <f>'Income Statement'!F158</f>
        <v>0.31151003167898628</v>
      </c>
      <c r="G96" s="93">
        <v>0.28499999999999998</v>
      </c>
      <c r="H96" s="93">
        <v>0.27500000000000002</v>
      </c>
      <c r="I96" s="93">
        <v>0.27</v>
      </c>
      <c r="J96" s="93">
        <v>0.27</v>
      </c>
      <c r="K96" s="93">
        <v>0.27</v>
      </c>
    </row>
    <row r="97" spans="1:11" ht="15.75" customHeight="1" x14ac:dyDescent="0.2">
      <c r="A97" s="94" t="s">
        <v>441</v>
      </c>
      <c r="B97" s="95">
        <f t="shared" ref="B97:F98" si="11">B96</f>
        <v>0.51883716717985839</v>
      </c>
      <c r="C97" s="95">
        <f t="shared" si="11"/>
        <v>0.41980302178368678</v>
      </c>
      <c r="D97" s="95">
        <f t="shared" si="11"/>
        <v>0.2926950143720885</v>
      </c>
      <c r="E97" s="95">
        <f t="shared" si="11"/>
        <v>0.32547274749721916</v>
      </c>
      <c r="F97" s="95">
        <f t="shared" si="11"/>
        <v>0.31151003167898628</v>
      </c>
      <c r="G97" s="96">
        <v>0.3</v>
      </c>
      <c r="H97" s="96">
        <v>0.31</v>
      </c>
      <c r="I97" s="96">
        <v>0.32</v>
      </c>
      <c r="J97" s="96">
        <v>0.32500000000000001</v>
      </c>
      <c r="K97" s="96">
        <v>0.33</v>
      </c>
    </row>
    <row r="98" spans="1:11" ht="15.75" customHeight="1" x14ac:dyDescent="0.2">
      <c r="A98" s="97" t="s">
        <v>442</v>
      </c>
      <c r="B98" s="92">
        <f t="shared" si="11"/>
        <v>0.51883716717985839</v>
      </c>
      <c r="C98" s="92">
        <f t="shared" si="11"/>
        <v>0.41980302178368678</v>
      </c>
      <c r="D98" s="92">
        <f t="shared" si="11"/>
        <v>0.2926950143720885</v>
      </c>
      <c r="E98" s="92">
        <f t="shared" si="11"/>
        <v>0.32547274749721916</v>
      </c>
      <c r="F98" s="92">
        <f t="shared" si="11"/>
        <v>0.31151003167898628</v>
      </c>
      <c r="G98" s="98">
        <v>0.32</v>
      </c>
      <c r="H98" s="98">
        <v>0.33500000000000002</v>
      </c>
      <c r="I98" s="98">
        <v>0.35</v>
      </c>
      <c r="J98" s="98">
        <v>0.36</v>
      </c>
      <c r="K98" s="98">
        <v>0.37</v>
      </c>
    </row>
    <row r="99" spans="1:11" ht="15.75" customHeight="1" x14ac:dyDescent="0.2"/>
    <row r="100" spans="1:11" ht="15.75" customHeight="1" x14ac:dyDescent="0.2">
      <c r="A100" s="298" t="s">
        <v>455</v>
      </c>
      <c r="B100" s="282"/>
      <c r="C100" s="282"/>
      <c r="D100" s="282"/>
      <c r="E100" s="282"/>
      <c r="F100" s="282"/>
      <c r="G100" s="282"/>
      <c r="H100" s="282"/>
      <c r="I100" s="282"/>
      <c r="J100" s="282"/>
      <c r="K100" s="282"/>
    </row>
    <row r="101" spans="1:11" ht="15.75" customHeight="1" x14ac:dyDescent="0.2">
      <c r="A101" s="91" t="s">
        <v>440</v>
      </c>
      <c r="B101" s="99">
        <f>'Income Statement'!B157</f>
        <v>572.9</v>
      </c>
      <c r="C101" s="99">
        <f>'Income Statement'!C157</f>
        <v>462.9</v>
      </c>
      <c r="D101" s="99">
        <f>'Income Statement'!D157</f>
        <v>295.3</v>
      </c>
      <c r="E101" s="99">
        <f>'Income Statement'!E157</f>
        <v>292.60000000000002</v>
      </c>
      <c r="F101" s="99">
        <f>'Income Statement'!F157</f>
        <v>295</v>
      </c>
      <c r="G101" s="100">
        <f>G96*G25</f>
        <v>269.89499999999998</v>
      </c>
      <c r="H101" s="100">
        <f>H96*H25</f>
        <v>263.02925000000005</v>
      </c>
      <c r="I101" s="100">
        <f>I96*I25</f>
        <v>263.41183800000005</v>
      </c>
      <c r="J101" s="100">
        <f>J96*J25</f>
        <v>271.31419314000004</v>
      </c>
      <c r="K101" s="100">
        <f>K96*K25</f>
        <v>278.09704796850002</v>
      </c>
    </row>
    <row r="102" spans="1:11" ht="15.75" customHeight="1" x14ac:dyDescent="0.2">
      <c r="A102" s="94" t="s">
        <v>441</v>
      </c>
      <c r="B102" s="101">
        <f t="shared" ref="B102:F103" si="12">B101</f>
        <v>572.9</v>
      </c>
      <c r="C102" s="101">
        <f t="shared" si="12"/>
        <v>462.9</v>
      </c>
      <c r="D102" s="101">
        <f t="shared" si="12"/>
        <v>295.3</v>
      </c>
      <c r="E102" s="101">
        <f t="shared" si="12"/>
        <v>292.60000000000002</v>
      </c>
      <c r="F102" s="101">
        <f t="shared" si="12"/>
        <v>295</v>
      </c>
      <c r="G102" s="102">
        <f>G97*G26</f>
        <v>289.78199999999998</v>
      </c>
      <c r="H102" s="102">
        <f>H97*H26</f>
        <v>308.42464200000001</v>
      </c>
      <c r="I102" s="102">
        <f>I97*I26</f>
        <v>337.47625344000011</v>
      </c>
      <c r="J102" s="102">
        <f>J97*J26</f>
        <v>366.74177229300017</v>
      </c>
      <c r="K102" s="102">
        <f>K97*K26</f>
        <v>391.00315107546015</v>
      </c>
    </row>
    <row r="103" spans="1:11" ht="15.75" customHeight="1" x14ac:dyDescent="0.2">
      <c r="A103" s="97" t="s">
        <v>442</v>
      </c>
      <c r="B103" s="99">
        <f t="shared" si="12"/>
        <v>572.9</v>
      </c>
      <c r="C103" s="99">
        <f t="shared" si="12"/>
        <v>462.9</v>
      </c>
      <c r="D103" s="99">
        <f t="shared" si="12"/>
        <v>295.3</v>
      </c>
      <c r="E103" s="99">
        <f t="shared" si="12"/>
        <v>292.60000000000002</v>
      </c>
      <c r="F103" s="99">
        <f t="shared" si="12"/>
        <v>295</v>
      </c>
      <c r="G103" s="103">
        <f>G98*G27</f>
        <v>318.19200000000001</v>
      </c>
      <c r="H103" s="103">
        <f>H98*H27</f>
        <v>353.09368499999999</v>
      </c>
      <c r="I103" s="103">
        <f>I98*I27</f>
        <v>405.79423499999996</v>
      </c>
      <c r="J103" s="103">
        <f>J98*J27</f>
        <v>467.47495872000002</v>
      </c>
      <c r="K103" s="103">
        <f>K98*K27</f>
        <v>518.8972041792</v>
      </c>
    </row>
    <row r="104" spans="1:11" ht="15.75" customHeight="1" x14ac:dyDescent="0.2"/>
    <row r="105" spans="1:11" ht="15.75" customHeight="1" x14ac:dyDescent="0.2">
      <c r="A105" s="294" t="s">
        <v>446</v>
      </c>
      <c r="B105" s="282"/>
      <c r="C105" s="282"/>
      <c r="D105" s="282"/>
      <c r="E105" s="282"/>
      <c r="F105" s="282"/>
      <c r="G105" s="282"/>
      <c r="H105" s="282"/>
      <c r="I105" s="282"/>
      <c r="J105" s="282"/>
      <c r="K105" s="282"/>
    </row>
    <row r="106" spans="1:11" ht="15.75" customHeight="1" x14ac:dyDescent="0.2">
      <c r="A106" s="293" t="s">
        <v>454</v>
      </c>
      <c r="B106" s="282"/>
      <c r="C106" s="282"/>
      <c r="D106" s="282"/>
      <c r="E106" s="282"/>
      <c r="F106" s="282"/>
      <c r="G106" s="282"/>
      <c r="H106" s="282"/>
      <c r="I106" s="282"/>
      <c r="J106" s="282"/>
      <c r="K106" s="282"/>
    </row>
    <row r="107" spans="1:11" ht="15.75" customHeight="1" x14ac:dyDescent="0.2">
      <c r="A107" s="91" t="s">
        <v>440</v>
      </c>
      <c r="B107" s="104" t="s">
        <v>447</v>
      </c>
      <c r="C107" s="104" t="s">
        <v>447</v>
      </c>
      <c r="D107" s="104" t="s">
        <v>447</v>
      </c>
      <c r="E107" s="92">
        <f>'Income Statement'!E102</f>
        <v>-0.3392405063291139</v>
      </c>
      <c r="F107" s="92">
        <f>'Income Statement'!F102</f>
        <v>-0.20871559633027523</v>
      </c>
      <c r="G107" s="93">
        <v>-0.17</v>
      </c>
      <c r="H107" s="93">
        <v>-0.13</v>
      </c>
      <c r="I107" s="93">
        <v>-0.1</v>
      </c>
      <c r="J107" s="93">
        <v>-7.0000000000000007E-2</v>
      </c>
      <c r="K107" s="93">
        <v>-0.05</v>
      </c>
    </row>
    <row r="108" spans="1:11" ht="15.75" customHeight="1" x14ac:dyDescent="0.2">
      <c r="A108" s="94" t="s">
        <v>441</v>
      </c>
      <c r="B108" s="105" t="s">
        <v>447</v>
      </c>
      <c r="C108" s="105" t="s">
        <v>447</v>
      </c>
      <c r="D108" s="105" t="s">
        <v>447</v>
      </c>
      <c r="E108" s="95">
        <f>E107</f>
        <v>-0.3392405063291139</v>
      </c>
      <c r="F108" s="95">
        <f>F107</f>
        <v>-0.20871559633027523</v>
      </c>
      <c r="G108" s="96">
        <v>-0.1</v>
      </c>
      <c r="H108" s="96">
        <v>-0.04</v>
      </c>
      <c r="I108" s="96">
        <v>0.03</v>
      </c>
      <c r="J108" s="96">
        <v>7.0000000000000007E-2</v>
      </c>
      <c r="K108" s="96">
        <v>0.1</v>
      </c>
    </row>
    <row r="109" spans="1:11" ht="15" customHeight="1" x14ac:dyDescent="0.2">
      <c r="A109" s="97" t="s">
        <v>442</v>
      </c>
      <c r="B109" s="104" t="s">
        <v>447</v>
      </c>
      <c r="C109" s="104" t="s">
        <v>447</v>
      </c>
      <c r="D109" s="104" t="s">
        <v>447</v>
      </c>
      <c r="E109" s="92">
        <f>E108</f>
        <v>-0.3392405063291139</v>
      </c>
      <c r="F109" s="92">
        <f>F108</f>
        <v>-0.20871559633027523</v>
      </c>
      <c r="G109" s="98">
        <v>-0.06</v>
      </c>
      <c r="H109" s="98">
        <v>0.02</v>
      </c>
      <c r="I109" s="98">
        <v>0.08</v>
      </c>
      <c r="J109" s="98">
        <v>0.12</v>
      </c>
      <c r="K109" s="98">
        <v>0.14000000000000001</v>
      </c>
    </row>
    <row r="111" spans="1:11" ht="15" customHeight="1" x14ac:dyDescent="0.2">
      <c r="A111" s="298" t="s">
        <v>455</v>
      </c>
      <c r="B111" s="282"/>
      <c r="C111" s="282"/>
      <c r="D111" s="282"/>
      <c r="E111" s="282"/>
      <c r="F111" s="282"/>
      <c r="G111" s="282"/>
      <c r="H111" s="282"/>
      <c r="I111" s="282"/>
      <c r="J111" s="282"/>
      <c r="K111" s="282"/>
    </row>
    <row r="112" spans="1:11" ht="15" customHeight="1" x14ac:dyDescent="0.2">
      <c r="A112" s="91" t="s">
        <v>440</v>
      </c>
      <c r="B112" s="104" t="s">
        <v>447</v>
      </c>
      <c r="C112" s="104" t="s">
        <v>447</v>
      </c>
      <c r="D112" s="104" t="s">
        <v>447</v>
      </c>
      <c r="E112" s="99">
        <f>'Income Statement'!E99</f>
        <v>-134</v>
      </c>
      <c r="F112" s="99">
        <f>'Income Statement'!F99</f>
        <v>-91</v>
      </c>
      <c r="G112" s="100">
        <f>G107*G42</f>
        <v>-77.826000000000008</v>
      </c>
      <c r="H112" s="100">
        <f>H107*H42</f>
        <v>-62.489700000000006</v>
      </c>
      <c r="I112" s="100">
        <f>I107*I42</f>
        <v>-50.472450000000009</v>
      </c>
      <c r="J112" s="100">
        <f>J107*J42</f>
        <v>-37.097250750000015</v>
      </c>
      <c r="K112" s="100">
        <f>K107*K42</f>
        <v>-27.822938062500011</v>
      </c>
    </row>
    <row r="113" spans="1:11" ht="15" customHeight="1" x14ac:dyDescent="0.2">
      <c r="A113" s="94" t="s">
        <v>441</v>
      </c>
      <c r="B113" s="105" t="s">
        <v>447</v>
      </c>
      <c r="C113" s="105" t="s">
        <v>447</v>
      </c>
      <c r="D113" s="105" t="s">
        <v>447</v>
      </c>
      <c r="E113" s="101">
        <f>E112</f>
        <v>-134</v>
      </c>
      <c r="F113" s="101">
        <f>F112</f>
        <v>-91</v>
      </c>
      <c r="G113" s="102">
        <f>G108*G43</f>
        <v>-52.319999999999993</v>
      </c>
      <c r="H113" s="102">
        <f>H108*H43</f>
        <v>-26.159999999999997</v>
      </c>
      <c r="I113" s="102">
        <f>I108*I43</f>
        <v>26.486999999999995</v>
      </c>
      <c r="J113" s="102">
        <f>J108*J43</f>
        <v>71.073449999999994</v>
      </c>
      <c r="K113" s="102">
        <f>K108*K43</f>
        <v>111.68684999999999</v>
      </c>
    </row>
    <row r="114" spans="1:11" ht="15" customHeight="1" x14ac:dyDescent="0.2">
      <c r="A114" s="97" t="s">
        <v>442</v>
      </c>
      <c r="B114" s="104" t="s">
        <v>447</v>
      </c>
      <c r="C114" s="104" t="s">
        <v>447</v>
      </c>
      <c r="D114" s="104" t="s">
        <v>447</v>
      </c>
      <c r="E114" s="99">
        <f>E113</f>
        <v>-134</v>
      </c>
      <c r="F114" s="99">
        <f>F113</f>
        <v>-91</v>
      </c>
      <c r="G114" s="103">
        <f>G109*G44</f>
        <v>-32.699999999999996</v>
      </c>
      <c r="H114" s="103">
        <f>H109*H44</f>
        <v>14.715</v>
      </c>
      <c r="I114" s="103">
        <f>I109*I44</f>
        <v>82.403999999999996</v>
      </c>
      <c r="J114" s="103">
        <f>J109*J44</f>
        <v>148.32719999999998</v>
      </c>
      <c r="K114" s="103">
        <f>K109*K44</f>
        <v>199.00566000000001</v>
      </c>
    </row>
    <row r="116" spans="1:11" ht="15" customHeight="1" x14ac:dyDescent="0.2">
      <c r="A116" s="294" t="s">
        <v>449</v>
      </c>
      <c r="B116" s="282"/>
      <c r="C116" s="282"/>
      <c r="D116" s="282"/>
      <c r="E116" s="282"/>
      <c r="F116" s="282"/>
      <c r="G116" s="282"/>
      <c r="H116" s="282"/>
      <c r="I116" s="282"/>
      <c r="J116" s="282"/>
      <c r="K116" s="282"/>
    </row>
    <row r="117" spans="1:11" ht="15" customHeight="1" x14ac:dyDescent="0.2">
      <c r="A117" s="293" t="s">
        <v>454</v>
      </c>
      <c r="B117" s="282"/>
      <c r="C117" s="282"/>
      <c r="D117" s="282"/>
      <c r="E117" s="282"/>
      <c r="F117" s="282"/>
      <c r="G117" s="282"/>
      <c r="H117" s="282"/>
      <c r="I117" s="282"/>
      <c r="J117" s="282"/>
      <c r="K117" s="282"/>
    </row>
    <row r="118" spans="1:11" ht="15" customHeight="1" x14ac:dyDescent="0.2">
      <c r="A118" s="91" t="s">
        <v>440</v>
      </c>
      <c r="B118" s="104" t="s">
        <v>447</v>
      </c>
      <c r="C118" s="104" t="s">
        <v>447</v>
      </c>
      <c r="D118" s="104" t="s">
        <v>447</v>
      </c>
      <c r="E118" s="92">
        <f>'Income Statement'!E103</f>
        <v>0.12313432835820895</v>
      </c>
      <c r="F118" s="92">
        <f>'Income Statement'!F103</f>
        <v>0.13620071684587814</v>
      </c>
      <c r="G118" s="93">
        <v>0.13</v>
      </c>
      <c r="H118" s="93">
        <v>0.125</v>
      </c>
      <c r="I118" s="93">
        <v>0.12</v>
      </c>
      <c r="J118" s="93">
        <v>0.12</v>
      </c>
      <c r="K118" s="93">
        <v>0.12</v>
      </c>
    </row>
    <row r="119" spans="1:11" ht="15" customHeight="1" x14ac:dyDescent="0.2">
      <c r="A119" s="94" t="s">
        <v>441</v>
      </c>
      <c r="B119" s="105" t="s">
        <v>447</v>
      </c>
      <c r="C119" s="105" t="s">
        <v>447</v>
      </c>
      <c r="D119" s="105" t="s">
        <v>447</v>
      </c>
      <c r="E119" s="95">
        <f>E118</f>
        <v>0.12313432835820895</v>
      </c>
      <c r="F119" s="95">
        <f>F118</f>
        <v>0.13620071684587814</v>
      </c>
      <c r="G119" s="96">
        <v>0.14000000000000001</v>
      </c>
      <c r="H119" s="96">
        <v>0.14000000000000001</v>
      </c>
      <c r="I119" s="96">
        <v>0.14499999999999999</v>
      </c>
      <c r="J119" s="96">
        <v>0.15</v>
      </c>
      <c r="K119" s="96">
        <v>0.15</v>
      </c>
    </row>
    <row r="120" spans="1:11" ht="15" customHeight="1" x14ac:dyDescent="0.2">
      <c r="A120" s="97" t="s">
        <v>442</v>
      </c>
      <c r="B120" s="104" t="s">
        <v>447</v>
      </c>
      <c r="C120" s="104" t="s">
        <v>447</v>
      </c>
      <c r="D120" s="104" t="s">
        <v>447</v>
      </c>
      <c r="E120" s="92">
        <f>E119</f>
        <v>0.12313432835820895</v>
      </c>
      <c r="F120" s="92">
        <f>F119</f>
        <v>0.13620071684587814</v>
      </c>
      <c r="G120" s="98">
        <v>0.14499999999999999</v>
      </c>
      <c r="H120" s="98">
        <v>0.155</v>
      </c>
      <c r="I120" s="98">
        <v>0.16500000000000001</v>
      </c>
      <c r="J120" s="98">
        <v>0.17</v>
      </c>
      <c r="K120" s="98">
        <v>0.17499999999999999</v>
      </c>
    </row>
    <row r="122" spans="1:11" ht="15" customHeight="1" x14ac:dyDescent="0.2">
      <c r="A122" s="298" t="s">
        <v>455</v>
      </c>
      <c r="B122" s="282"/>
      <c r="C122" s="282"/>
      <c r="D122" s="282"/>
      <c r="E122" s="282"/>
      <c r="F122" s="282"/>
      <c r="G122" s="282"/>
      <c r="H122" s="282"/>
      <c r="I122" s="282"/>
      <c r="J122" s="282"/>
      <c r="K122" s="282"/>
    </row>
    <row r="123" spans="1:11" ht="15" customHeight="1" x14ac:dyDescent="0.2">
      <c r="A123" s="91" t="s">
        <v>440</v>
      </c>
      <c r="B123" s="104" t="s">
        <v>447</v>
      </c>
      <c r="C123" s="104" t="s">
        <v>447</v>
      </c>
      <c r="D123" s="104" t="s">
        <v>447</v>
      </c>
      <c r="E123" s="99">
        <f>'Income Statement'!E100</f>
        <v>66</v>
      </c>
      <c r="F123" s="99">
        <f>'Income Statement'!F100</f>
        <v>76</v>
      </c>
      <c r="G123" s="100">
        <f>G118*G60</f>
        <v>72.540000000000006</v>
      </c>
      <c r="H123" s="100">
        <f>H118*H60</f>
        <v>69.75</v>
      </c>
      <c r="I123" s="100">
        <f>I118*I60</f>
        <v>67.632000000000005</v>
      </c>
      <c r="J123" s="100">
        <f>J118*J60</f>
        <v>68.304000000000002</v>
      </c>
      <c r="K123" s="100">
        <f>K118*K60</f>
        <v>68.988</v>
      </c>
    </row>
    <row r="124" spans="1:11" ht="15" customHeight="1" x14ac:dyDescent="0.2">
      <c r="A124" s="94" t="s">
        <v>441</v>
      </c>
      <c r="B124" s="105" t="s">
        <v>447</v>
      </c>
      <c r="C124" s="105" t="s">
        <v>447</v>
      </c>
      <c r="D124" s="105" t="s">
        <v>447</v>
      </c>
      <c r="E124" s="101">
        <f>E123</f>
        <v>66</v>
      </c>
      <c r="F124" s="101">
        <f>F123</f>
        <v>76</v>
      </c>
      <c r="G124" s="102">
        <f>G119*G61</f>
        <v>80.458000000000013</v>
      </c>
      <c r="H124" s="102">
        <f>H119*H61</f>
        <v>83.678000000000011</v>
      </c>
      <c r="I124" s="102">
        <f>I119*I61</f>
        <v>91.001999999999995</v>
      </c>
      <c r="J124" s="102">
        <f>J119*J61</f>
        <v>98.85</v>
      </c>
      <c r="K124" s="102">
        <f>K119*K61</f>
        <v>103.8</v>
      </c>
    </row>
    <row r="125" spans="1:11" ht="15" customHeight="1" x14ac:dyDescent="0.2">
      <c r="A125" s="97" t="s">
        <v>442</v>
      </c>
      <c r="B125" s="104" t="s">
        <v>447</v>
      </c>
      <c r="C125" s="104" t="s">
        <v>447</v>
      </c>
      <c r="D125" s="104" t="s">
        <v>447</v>
      </c>
      <c r="E125" s="99">
        <f>E124</f>
        <v>66</v>
      </c>
      <c r="F125" s="99">
        <f>F124</f>
        <v>76</v>
      </c>
      <c r="G125" s="103">
        <f>G120*G62</f>
        <v>85.521870000000007</v>
      </c>
      <c r="H125" s="103">
        <f>H120*H62</f>
        <v>99.013999999999996</v>
      </c>
      <c r="I125" s="103">
        <f>I120*I62</f>
        <v>114.8895</v>
      </c>
      <c r="J125" s="103">
        <f>J120*J62</f>
        <v>129.03</v>
      </c>
      <c r="K125" s="103">
        <f>K120*K62</f>
        <v>143.44749999999999</v>
      </c>
    </row>
    <row r="127" spans="1:11" ht="15" customHeight="1" x14ac:dyDescent="0.2">
      <c r="A127" s="294" t="s">
        <v>456</v>
      </c>
      <c r="B127" s="282"/>
      <c r="C127" s="282"/>
      <c r="D127" s="282"/>
      <c r="E127" s="282"/>
      <c r="F127" s="282"/>
      <c r="G127" s="282"/>
      <c r="H127" s="282"/>
      <c r="I127" s="282"/>
      <c r="J127" s="282"/>
      <c r="K127" s="282"/>
    </row>
    <row r="128" spans="1:11" ht="15" customHeight="1" x14ac:dyDescent="0.2">
      <c r="A128" s="293"/>
      <c r="B128" s="282"/>
      <c r="C128" s="282"/>
      <c r="D128" s="282"/>
      <c r="E128" s="282"/>
      <c r="F128" s="282"/>
      <c r="G128" s="282"/>
      <c r="H128" s="282"/>
      <c r="I128" s="282"/>
      <c r="J128" s="282"/>
      <c r="K128" s="282"/>
    </row>
    <row r="129" spans="1:11" ht="15" customHeight="1" x14ac:dyDescent="0.2">
      <c r="A129" s="106" t="s">
        <v>457</v>
      </c>
      <c r="B129" s="99">
        <f>'Income Statement'!B200</f>
        <v>-67.099999999999994</v>
      </c>
      <c r="C129" s="99">
        <f>'Income Statement'!C200</f>
        <v>-106.5</v>
      </c>
      <c r="D129" s="99">
        <f>'Income Statement'!D200</f>
        <v>-113.2</v>
      </c>
      <c r="E129" s="99">
        <f>'Income Statement'!E200</f>
        <v>-107.9</v>
      </c>
      <c r="F129" s="99">
        <f>'Income Statement'!F200</f>
        <v>-84.4</v>
      </c>
      <c r="G129" s="107">
        <v>-90</v>
      </c>
      <c r="H129" s="107">
        <v>-90</v>
      </c>
      <c r="I129" s="107">
        <v>-90</v>
      </c>
      <c r="J129" s="107">
        <v>-90</v>
      </c>
      <c r="K129" s="107">
        <v>-90</v>
      </c>
    </row>
    <row r="131" spans="1:11" ht="15" customHeight="1" x14ac:dyDescent="0.2">
      <c r="A131" s="300" t="s">
        <v>458</v>
      </c>
      <c r="B131" s="282"/>
      <c r="C131" s="282"/>
      <c r="D131" s="282"/>
      <c r="E131" s="282"/>
      <c r="F131" s="282"/>
      <c r="G131" s="282"/>
      <c r="H131" s="282"/>
      <c r="I131" s="282"/>
      <c r="J131" s="282"/>
      <c r="K131" s="282"/>
    </row>
    <row r="132" spans="1:11" ht="15" customHeight="1" x14ac:dyDescent="0.2">
      <c r="A132" s="91" t="s">
        <v>440</v>
      </c>
      <c r="B132" s="99">
        <f>'P&amp;L'!B48</f>
        <v>971.38200000000006</v>
      </c>
      <c r="C132" s="99">
        <f>'P&amp;L'!C48</f>
        <v>864.67699999999991</v>
      </c>
      <c r="D132" s="99">
        <f>'P&amp;L'!D48</f>
        <v>673.45900000000006</v>
      </c>
      <c r="E132" s="99">
        <f>'P&amp;L'!E48</f>
        <v>478.5</v>
      </c>
      <c r="F132" s="99">
        <f>'P&amp;L'!F48</f>
        <v>579</v>
      </c>
      <c r="G132" s="100">
        <f>G90+G101+G112+G123+G129</f>
        <v>526.05659999999989</v>
      </c>
      <c r="H132" s="100">
        <f>H90+H101+H112+H123+H129</f>
        <v>508.68930000000012</v>
      </c>
      <c r="I132" s="100">
        <f>I90+I101+I112+I123+I129</f>
        <v>506.15538800000013</v>
      </c>
      <c r="J132" s="100">
        <f>J90+J101+J112+J123+J129</f>
        <v>517.13824239000007</v>
      </c>
      <c r="K132" s="100">
        <f>K90+K101+K112+K123+K129</f>
        <v>523.10090990599997</v>
      </c>
    </row>
    <row r="133" spans="1:11" ht="15" customHeight="1" x14ac:dyDescent="0.2">
      <c r="A133" s="94" t="s">
        <v>441</v>
      </c>
      <c r="B133" s="101">
        <f t="shared" ref="B133:F134" si="13">B132</f>
        <v>971.38200000000006</v>
      </c>
      <c r="C133" s="101">
        <f t="shared" si="13"/>
        <v>864.67699999999991</v>
      </c>
      <c r="D133" s="101">
        <f t="shared" si="13"/>
        <v>673.45900000000006</v>
      </c>
      <c r="E133" s="101">
        <f t="shared" si="13"/>
        <v>478.5</v>
      </c>
      <c r="F133" s="101">
        <f t="shared" si="13"/>
        <v>579</v>
      </c>
      <c r="G133" s="102">
        <f>G91+G102+G113+G124+G129</f>
        <v>605.09649999999999</v>
      </c>
      <c r="H133" s="102">
        <f>H91+H102+H113+H124+H129</f>
        <v>655.00502449999999</v>
      </c>
      <c r="I133" s="102">
        <f>I91+I102+I113+I124+I129</f>
        <v>735.60402743999998</v>
      </c>
      <c r="J133" s="102">
        <f>J91+J102+J113+J124+J129</f>
        <v>817.30399629300018</v>
      </c>
      <c r="K133" s="102">
        <f>K91+K102+K113+K124+K129</f>
        <v>887.12877507546</v>
      </c>
    </row>
    <row r="134" spans="1:11" ht="15" customHeight="1" x14ac:dyDescent="0.2">
      <c r="A134" s="97" t="s">
        <v>442</v>
      </c>
      <c r="B134" s="99">
        <f t="shared" si="13"/>
        <v>971.38200000000006</v>
      </c>
      <c r="C134" s="99">
        <f t="shared" si="13"/>
        <v>864.67699999999991</v>
      </c>
      <c r="D134" s="99">
        <f t="shared" si="13"/>
        <v>673.45900000000006</v>
      </c>
      <c r="E134" s="99">
        <f t="shared" si="13"/>
        <v>478.5</v>
      </c>
      <c r="F134" s="99">
        <f t="shared" si="13"/>
        <v>579</v>
      </c>
      <c r="G134" s="103">
        <f>G92+G103+G114+G125+G129</f>
        <v>670.40847000000008</v>
      </c>
      <c r="H134" s="103">
        <f>H92+H103+H114+H125+H129</f>
        <v>780.651385</v>
      </c>
      <c r="I134" s="103">
        <f>I92+I103+I114+I125+I129</f>
        <v>933.75733500000001</v>
      </c>
      <c r="J134" s="103">
        <f>J92+J103+J114+J125+J129</f>
        <v>1077.6051067199999</v>
      </c>
      <c r="K134" s="103">
        <f>K92+K103+K114+K125+K129</f>
        <v>1196.2371769191998</v>
      </c>
    </row>
    <row r="136" spans="1:11" ht="15" customHeight="1" x14ac:dyDescent="0.2">
      <c r="A136" s="293"/>
      <c r="B136" s="282"/>
      <c r="C136" s="282"/>
      <c r="D136" s="282"/>
      <c r="E136" s="282"/>
      <c r="F136" s="282"/>
      <c r="G136" s="282"/>
      <c r="H136" s="282"/>
      <c r="I136" s="282"/>
      <c r="J136" s="282"/>
      <c r="K136" s="282"/>
    </row>
    <row r="137" spans="1:11" ht="15" customHeight="1" x14ac:dyDescent="0.2">
      <c r="A137" s="91" t="s">
        <v>440</v>
      </c>
      <c r="B137" s="92">
        <f>'P&amp;L'!B49</f>
        <v>0.24509362124083148</v>
      </c>
      <c r="C137" s="92">
        <f>'P&amp;L'!C49</f>
        <v>0.20809530811655857</v>
      </c>
      <c r="D137" s="92">
        <f>'P&amp;L'!D49</f>
        <v>0.17376448125499913</v>
      </c>
      <c r="E137" s="92">
        <f>'P&amp;L'!E49</f>
        <v>0.13687070938215104</v>
      </c>
      <c r="F137" s="92">
        <f>'P&amp;L'!F49</f>
        <v>0.16043225270157938</v>
      </c>
      <c r="G137" s="108">
        <f>IF(G74&lt;&gt;0,G132/G74,0)</f>
        <v>0.14623081969400459</v>
      </c>
      <c r="H137" s="108">
        <f>IF(H74&lt;&gt;0,H132/H74,0)</f>
        <v>0.14141610904309296</v>
      </c>
      <c r="I137" s="108">
        <f>IF(I74&lt;&gt;0,I132/I74,0)</f>
        <v>0.13975074629803899</v>
      </c>
      <c r="J137" s="108">
        <f>IF(J74&lt;&gt;0,J132/J74,0)</f>
        <v>0.14105688208966791</v>
      </c>
      <c r="K137" s="108">
        <f>IF(K74&lt;&gt;0,K132/K74,0)</f>
        <v>0.1410786290665525</v>
      </c>
    </row>
    <row r="138" spans="1:11" ht="15" customHeight="1" x14ac:dyDescent="0.2">
      <c r="A138" s="94" t="s">
        <v>441</v>
      </c>
      <c r="B138" s="95">
        <f t="shared" ref="B138:F139" si="14">B137</f>
        <v>0.24509362124083148</v>
      </c>
      <c r="C138" s="95">
        <f t="shared" si="14"/>
        <v>0.20809530811655857</v>
      </c>
      <c r="D138" s="95">
        <f t="shared" si="14"/>
        <v>0.17376448125499913</v>
      </c>
      <c r="E138" s="95">
        <f t="shared" si="14"/>
        <v>0.13687070938215104</v>
      </c>
      <c r="F138" s="95">
        <f t="shared" si="14"/>
        <v>0.16043225270157938</v>
      </c>
      <c r="G138" s="109">
        <f>IF(G75&lt;&gt;0,G133/G75,0)</f>
        <v>0.16178272168719154</v>
      </c>
      <c r="H138" s="109">
        <f>IF(H75&lt;&gt;0,H133/H75,0)</f>
        <v>0.16661114051725723</v>
      </c>
      <c r="I138" s="109">
        <f>IF(I75&lt;&gt;0,I133/I75,0)</f>
        <v>0.17309002086545011</v>
      </c>
      <c r="J138" s="109">
        <f>IF(J75&lt;&gt;0,J133/J75,0)</f>
        <v>0.18212931149284234</v>
      </c>
      <c r="K138" s="109">
        <f>IF(K75&lt;&gt;0,K133/K75,0)</f>
        <v>0.1896203037390525</v>
      </c>
    </row>
    <row r="139" spans="1:11" ht="15" customHeight="1" x14ac:dyDescent="0.2">
      <c r="A139" s="97" t="s">
        <v>442</v>
      </c>
      <c r="B139" s="92">
        <f t="shared" si="14"/>
        <v>0.24509362124083148</v>
      </c>
      <c r="C139" s="92">
        <f t="shared" si="14"/>
        <v>0.20809530811655857</v>
      </c>
      <c r="D139" s="92">
        <f t="shared" si="14"/>
        <v>0.17376448125499913</v>
      </c>
      <c r="E139" s="92">
        <f t="shared" si="14"/>
        <v>0.13687070938215104</v>
      </c>
      <c r="F139" s="92">
        <f t="shared" si="14"/>
        <v>0.16043225270157938</v>
      </c>
      <c r="G139" s="110">
        <f>IF(G76&lt;&gt;0,G134/G76,0)</f>
        <v>0.17539968593806254</v>
      </c>
      <c r="H139" s="110">
        <f>IF(H76&lt;&gt;0,H134/H76,0)</f>
        <v>0.18824571055425623</v>
      </c>
      <c r="I139" s="110">
        <f>IF(I76&lt;&gt;0,I134/I76,0)</f>
        <v>0.20130362123128898</v>
      </c>
      <c r="J139" s="110">
        <f>IF(J76&lt;&gt;0,J134/J76,0)</f>
        <v>0.21316952689064875</v>
      </c>
      <c r="K139" s="110">
        <f>IF(K76&lt;&gt;0,K134/K76,0)</f>
        <v>0.22095437535965445</v>
      </c>
    </row>
    <row r="145" spans="1:11" ht="15" customHeight="1" x14ac:dyDescent="0.2">
      <c r="A145" s="111" t="s">
        <v>459</v>
      </c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</row>
    <row r="146" spans="1:11" ht="15" customHeight="1" x14ac:dyDescent="0.2">
      <c r="A146" s="113" t="s">
        <v>460</v>
      </c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</row>
    <row r="148" spans="1:11" ht="15" customHeight="1" x14ac:dyDescent="0.2">
      <c r="A148" s="115" t="s">
        <v>461</v>
      </c>
      <c r="B148" s="116">
        <f>'P&amp;L'!B74</f>
        <v>0.24399999999999999</v>
      </c>
      <c r="C148" s="116">
        <f>'P&amp;L'!C74</f>
        <v>0.20399999999999999</v>
      </c>
      <c r="D148" s="116">
        <f>'P&amp;L'!D74</f>
        <v>0.252</v>
      </c>
      <c r="E148" s="116">
        <f>'P&amp;L'!E74</f>
        <v>0.29199999999999998</v>
      </c>
      <c r="F148" s="116">
        <f>'P&amp;L'!F74</f>
        <v>0.26100000000000001</v>
      </c>
    </row>
    <row r="149" spans="1:11" ht="15" customHeight="1" x14ac:dyDescent="0.2">
      <c r="A149" s="115" t="s">
        <v>462</v>
      </c>
      <c r="B149" s="116">
        <f>AVERAGE(B148,D148,F148)</f>
        <v>0.25233333333333335</v>
      </c>
      <c r="C149" s="78"/>
      <c r="D149" s="78"/>
      <c r="E149" s="78"/>
      <c r="F149" s="78"/>
    </row>
    <row r="151" spans="1:11" ht="15" customHeight="1" x14ac:dyDescent="0.2">
      <c r="A151" s="113" t="s">
        <v>463</v>
      </c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</row>
    <row r="153" spans="1:11" ht="15" customHeight="1" x14ac:dyDescent="0.2">
      <c r="A153" s="117" t="s">
        <v>440</v>
      </c>
      <c r="B153" s="78"/>
      <c r="C153" s="78"/>
      <c r="D153" s="78"/>
      <c r="E153" s="78"/>
      <c r="F153" s="78"/>
      <c r="G153" s="118">
        <v>0.25</v>
      </c>
      <c r="H153" s="118">
        <v>0.25</v>
      </c>
      <c r="I153" s="118">
        <v>0.25</v>
      </c>
      <c r="J153" s="118">
        <v>0.25</v>
      </c>
      <c r="K153" s="118">
        <v>0.25</v>
      </c>
    </row>
    <row r="154" spans="1:11" ht="15" customHeight="1" x14ac:dyDescent="0.2">
      <c r="A154" s="119" t="s">
        <v>441</v>
      </c>
      <c r="B154" s="78"/>
      <c r="C154" s="78"/>
      <c r="D154" s="78"/>
      <c r="E154" s="78"/>
      <c r="F154" s="78"/>
      <c r="G154" s="120">
        <v>0.25</v>
      </c>
      <c r="H154" s="120">
        <v>0.25</v>
      </c>
      <c r="I154" s="120">
        <v>0.25</v>
      </c>
      <c r="J154" s="120">
        <v>0.25</v>
      </c>
      <c r="K154" s="120">
        <v>0.25</v>
      </c>
    </row>
    <row r="155" spans="1:11" ht="15" customHeight="1" x14ac:dyDescent="0.2">
      <c r="A155" s="121" t="s">
        <v>442</v>
      </c>
      <c r="B155" s="78"/>
      <c r="C155" s="78"/>
      <c r="D155" s="78"/>
      <c r="E155" s="78"/>
      <c r="F155" s="78"/>
      <c r="G155" s="122">
        <v>0.25</v>
      </c>
      <c r="H155" s="122">
        <v>0.25</v>
      </c>
      <c r="I155" s="122">
        <v>0.25</v>
      </c>
      <c r="J155" s="122">
        <v>0.25</v>
      </c>
      <c r="K155" s="122">
        <v>0.25</v>
      </c>
    </row>
    <row r="157" spans="1:11" ht="15" customHeight="1" x14ac:dyDescent="0.2">
      <c r="A157" s="111" t="s">
        <v>464</v>
      </c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</row>
    <row r="159" spans="1:11" ht="15" customHeight="1" x14ac:dyDescent="0.2">
      <c r="A159" s="117" t="s">
        <v>440</v>
      </c>
      <c r="B159" s="123">
        <f>B132*(1-B148)</f>
        <v>734.36479200000008</v>
      </c>
      <c r="C159" s="123">
        <f>C132*(1-C148)</f>
        <v>688.28289199999995</v>
      </c>
      <c r="D159" s="123">
        <f>D132*(1-D148)</f>
        <v>503.74733200000003</v>
      </c>
      <c r="E159" s="123">
        <f>E132*(1-E148)</f>
        <v>338.77799999999996</v>
      </c>
      <c r="F159" s="123">
        <f>F132*(1-F148)</f>
        <v>427.88099999999997</v>
      </c>
      <c r="G159" s="124">
        <f>G132*(1-G153)</f>
        <v>394.54244999999992</v>
      </c>
      <c r="H159" s="124">
        <f>H132*(1-H153)</f>
        <v>381.51697500000012</v>
      </c>
      <c r="I159" s="124">
        <f>I132*(1-I153)</f>
        <v>379.6165410000001</v>
      </c>
      <c r="J159" s="124">
        <f>J132*(1-J153)</f>
        <v>387.85368179250008</v>
      </c>
      <c r="K159" s="124">
        <f>K132*(1-K153)</f>
        <v>392.32568242949998</v>
      </c>
    </row>
    <row r="160" spans="1:11" ht="15" customHeight="1" x14ac:dyDescent="0.2">
      <c r="A160" s="119" t="s">
        <v>441</v>
      </c>
      <c r="B160" s="123">
        <f>B133*(1-B148)</f>
        <v>734.36479200000008</v>
      </c>
      <c r="C160" s="123">
        <f>C133*(1-C148)</f>
        <v>688.28289199999995</v>
      </c>
      <c r="D160" s="123">
        <f>D133*(1-D148)</f>
        <v>503.74733200000003</v>
      </c>
      <c r="E160" s="123">
        <f>E133*(1-E148)</f>
        <v>338.77799999999996</v>
      </c>
      <c r="F160" s="123">
        <f>F133*(1-F148)</f>
        <v>427.88099999999997</v>
      </c>
      <c r="G160" s="125">
        <f>G133*(1-G154)</f>
        <v>453.82237499999997</v>
      </c>
      <c r="H160" s="125">
        <f>H133*(1-H154)</f>
        <v>491.25376837499999</v>
      </c>
      <c r="I160" s="125">
        <f>I133*(1-I154)</f>
        <v>551.70302057999993</v>
      </c>
      <c r="J160" s="125">
        <f>J133*(1-J154)</f>
        <v>612.97799721975014</v>
      </c>
      <c r="K160" s="125">
        <f>K133*(1-K154)</f>
        <v>665.346581306595</v>
      </c>
    </row>
    <row r="161" spans="1:11" ht="15" customHeight="1" x14ac:dyDescent="0.2">
      <c r="A161" s="121" t="s">
        <v>442</v>
      </c>
      <c r="B161" s="123">
        <f>B134*(1-B148)</f>
        <v>734.36479200000008</v>
      </c>
      <c r="C161" s="123">
        <f>C134*(1-C148)</f>
        <v>688.28289199999995</v>
      </c>
      <c r="D161" s="123">
        <f>D134*(1-D148)</f>
        <v>503.74733200000003</v>
      </c>
      <c r="E161" s="123">
        <f>E134*(1-E148)</f>
        <v>338.77799999999996</v>
      </c>
      <c r="F161" s="123">
        <f>F134*(1-F148)</f>
        <v>427.88099999999997</v>
      </c>
      <c r="G161" s="126">
        <f>G134*(1-G155)</f>
        <v>502.80635250000006</v>
      </c>
      <c r="H161" s="126">
        <f>H134*(1-H155)</f>
        <v>585.48853874999998</v>
      </c>
      <c r="I161" s="126">
        <f>I134*(1-I155)</f>
        <v>700.31800124999995</v>
      </c>
      <c r="J161" s="126">
        <f>J134*(1-J155)</f>
        <v>808.20383003999996</v>
      </c>
      <c r="K161" s="126">
        <f>K134*(1-K155)</f>
        <v>897.17788268939989</v>
      </c>
    </row>
    <row r="162" spans="1:11" x14ac:dyDescent="0.2"/>
    <row r="165" spans="1:11" ht="15" customHeight="1" x14ac:dyDescent="0.2">
      <c r="A165" s="127" t="s">
        <v>465</v>
      </c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</row>
    <row r="166" spans="1:11" ht="15" customHeight="1" x14ac:dyDescent="0.2">
      <c r="A166" s="128" t="s">
        <v>466</v>
      </c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</row>
    <row r="168" spans="1:11" ht="15" customHeight="1" x14ac:dyDescent="0.2">
      <c r="A168" s="129" t="s">
        <v>467</v>
      </c>
      <c r="B168" s="130">
        <f>'Cash Flow'!B7</f>
        <v>279.52600000000001</v>
      </c>
      <c r="C168" s="130">
        <f>'Cash Flow'!C7</f>
        <v>285.90699999999998</v>
      </c>
      <c r="D168" s="130">
        <f>'Cash Flow'!D7</f>
        <v>298.5</v>
      </c>
      <c r="E168" s="130">
        <f>'Cash Flow'!E7</f>
        <v>285.18</v>
      </c>
      <c r="F168" s="130">
        <f>'Cash Flow'!F7</f>
        <v>267.7</v>
      </c>
      <c r="G168" s="76"/>
      <c r="H168" s="76"/>
      <c r="I168" s="76"/>
      <c r="J168" s="76"/>
      <c r="K168" s="76"/>
    </row>
    <row r="169" spans="1:11" ht="15" customHeight="1" x14ac:dyDescent="0.2">
      <c r="A169" s="129" t="s">
        <v>468</v>
      </c>
      <c r="B169" s="130">
        <f>'Balance Sheet'!B6+'Balance Sheet'!B5</f>
        <v>2690.9809999999998</v>
      </c>
      <c r="C169" s="130">
        <f>'Balance Sheet'!C6+'Balance Sheet'!C5</f>
        <v>2875.7000000000003</v>
      </c>
      <c r="D169" s="130">
        <f>'Balance Sheet'!D6+'Balance Sheet'!D5</f>
        <v>3417.7</v>
      </c>
      <c r="E169" s="130">
        <f>'Balance Sheet'!E6+'Balance Sheet'!E5</f>
        <v>2777</v>
      </c>
      <c r="F169" s="130">
        <f>'Balance Sheet'!F6+'Balance Sheet'!F5</f>
        <v>2750.7</v>
      </c>
      <c r="G169" s="76"/>
      <c r="H169" s="76"/>
      <c r="I169" s="76"/>
      <c r="J169" s="76"/>
      <c r="K169" s="76"/>
    </row>
    <row r="170" spans="1:11" ht="15" customHeight="1" x14ac:dyDescent="0.2">
      <c r="A170" s="129" t="s">
        <v>469</v>
      </c>
      <c r="B170" s="131">
        <f>B168/B169</f>
        <v>0.10387512955312581</v>
      </c>
      <c r="C170" s="131">
        <f>C168/AVERAGE(B169,C169)</f>
        <v>0.10272081335359434</v>
      </c>
      <c r="D170" s="131">
        <f>D168/AVERAGE(C169,D169)</f>
        <v>9.4861283249118133E-2</v>
      </c>
      <c r="E170" s="131">
        <f>E168/AVERAGE(D169,E169)</f>
        <v>9.2072255315027371E-2</v>
      </c>
      <c r="F170" s="131">
        <f>F168/AVERAGE(E169,F169)</f>
        <v>9.6857644228159998E-2</v>
      </c>
      <c r="G170" s="76"/>
      <c r="H170" s="76"/>
      <c r="I170" s="76"/>
      <c r="J170" s="76"/>
      <c r="K170" s="76"/>
    </row>
    <row r="172" spans="1:11" ht="15" customHeight="1" x14ac:dyDescent="0.2">
      <c r="A172" s="128" t="s">
        <v>463</v>
      </c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</row>
    <row r="174" spans="1:11" ht="15" customHeight="1" x14ac:dyDescent="0.2">
      <c r="A174" s="129" t="s">
        <v>470</v>
      </c>
      <c r="B174" s="131">
        <f>AVERAGE(B170:F170)</f>
        <v>9.8077425139805136E-2</v>
      </c>
    </row>
    <row r="175" spans="1:11" ht="15" customHeight="1" x14ac:dyDescent="0.2">
      <c r="A175" s="129" t="s">
        <v>471</v>
      </c>
      <c r="B175" s="132">
        <v>0.1</v>
      </c>
    </row>
    <row r="177" spans="1:11" ht="15" customHeight="1" x14ac:dyDescent="0.2">
      <c r="A177" s="128" t="s">
        <v>472</v>
      </c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</row>
    <row r="179" spans="1:11" ht="15" customHeight="1" x14ac:dyDescent="0.2">
      <c r="A179" s="133" t="s">
        <v>440</v>
      </c>
      <c r="B179" s="78"/>
      <c r="C179" s="78"/>
      <c r="D179" s="78"/>
      <c r="E179" s="78"/>
      <c r="F179" s="78"/>
      <c r="G179" s="134">
        <f>$B$175*F$169</f>
        <v>275.07</v>
      </c>
      <c r="H179" s="134">
        <f>$B$175*F$169+G193-G179</f>
        <v>339.99999999999994</v>
      </c>
      <c r="I179" s="134">
        <f>$B$175*(F$169+G193-G179+H193-H179)</f>
        <v>281.56299999999999</v>
      </c>
      <c r="J179" s="134">
        <f>$B$175*(F$169+G193-G179+H193-H179+I193-I179)</f>
        <v>288.40669999999994</v>
      </c>
      <c r="K179" s="134">
        <f>$B$175*(F$169+G193-G179+H193-H179+I193-I179+J193-J179)</f>
        <v>295.06602999999996</v>
      </c>
    </row>
    <row r="180" spans="1:11" ht="15" customHeight="1" x14ac:dyDescent="0.2">
      <c r="A180" s="135" t="s">
        <v>441</v>
      </c>
      <c r="B180" s="78"/>
      <c r="C180" s="78"/>
      <c r="D180" s="78"/>
      <c r="E180" s="78"/>
      <c r="F180" s="78"/>
      <c r="G180" s="136">
        <f>$B$175*F$169</f>
        <v>275.07</v>
      </c>
      <c r="H180" s="136">
        <f>$B$175*(F$169+G194-G180)</f>
        <v>287.06299999999999</v>
      </c>
      <c r="I180" s="136">
        <f>$B$175*(F$169+G194-G180+H194-H180)</f>
        <v>297.55669999999998</v>
      </c>
      <c r="J180" s="136">
        <f>$B$175*(F$169+G194-G180+H194-H180+I194-I180)</f>
        <v>309.10102999999998</v>
      </c>
      <c r="K180" s="136">
        <f>$B$175*(F$169+G194-G180+H194-H180+I194-I180+J194-J180)</f>
        <v>320.19092699999999</v>
      </c>
    </row>
    <row r="181" spans="1:11" ht="15" customHeight="1" x14ac:dyDescent="0.2">
      <c r="A181" s="137" t="s">
        <v>442</v>
      </c>
      <c r="B181" s="78"/>
      <c r="C181" s="78"/>
      <c r="D181" s="78"/>
      <c r="E181" s="78"/>
      <c r="F181" s="78"/>
      <c r="G181" s="138">
        <f>$B$175*F$169</f>
        <v>275.07</v>
      </c>
      <c r="H181" s="138">
        <f>$B$175*(F$169+G195-G181)</f>
        <v>290.56299999999999</v>
      </c>
      <c r="I181" s="138">
        <f>$B$175*(F$169+G195-G181+H195-H181)</f>
        <v>305.50669999999997</v>
      </c>
      <c r="J181" s="138">
        <f>$B$175*(F$169+G195-G181+H195-H181+I195-I181)</f>
        <v>320.95603</v>
      </c>
      <c r="K181" s="138">
        <f>$B$175*(F$169+G195-G181+H195-H181+I195-I181+J195-J181)</f>
        <v>335.86042700000002</v>
      </c>
    </row>
    <row r="182" spans="1:11" x14ac:dyDescent="0.2"/>
    <row r="185" spans="1:11" ht="15" customHeight="1" x14ac:dyDescent="0.2">
      <c r="A185" s="127" t="s">
        <v>473</v>
      </c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</row>
    <row r="186" spans="1:11" ht="15" customHeight="1" x14ac:dyDescent="0.2">
      <c r="A186" s="128" t="s">
        <v>466</v>
      </c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</row>
    <row r="188" spans="1:11" ht="15" customHeight="1" x14ac:dyDescent="0.2">
      <c r="A188" s="129" t="s">
        <v>474</v>
      </c>
      <c r="B188" s="140">
        <f>-'Income Statement'!B213</f>
        <v>388.59700000000004</v>
      </c>
      <c r="C188" s="140">
        <f>-'Income Statement'!C213</f>
        <v>469.6</v>
      </c>
      <c r="D188" s="140">
        <f>-'Income Statement'!D213</f>
        <v>857.00000000000011</v>
      </c>
      <c r="E188" s="140">
        <f>-'Income Statement'!E213</f>
        <v>554.70000000000005</v>
      </c>
      <c r="F188" s="140">
        <f>-'Income Statement'!F213</f>
        <v>308.89999999999998</v>
      </c>
      <c r="G188" s="76"/>
      <c r="H188" s="76"/>
      <c r="I188" s="76"/>
      <c r="J188" s="76"/>
      <c r="K188" s="76"/>
    </row>
    <row r="189" spans="1:11" ht="15" customHeight="1" x14ac:dyDescent="0.2">
      <c r="A189" s="129" t="s">
        <v>475</v>
      </c>
      <c r="B189" s="141">
        <f>B188/B168</f>
        <v>1.3901998382976897</v>
      </c>
      <c r="C189" s="141">
        <f t="shared" ref="C189:F189" si="15">C188/C168</f>
        <v>1.6424921390522094</v>
      </c>
      <c r="D189" s="141">
        <f t="shared" si="15"/>
        <v>2.871021775544389</v>
      </c>
      <c r="E189" s="141">
        <f t="shared" si="15"/>
        <v>1.945087313275826</v>
      </c>
      <c r="F189" s="141">
        <f t="shared" si="15"/>
        <v>1.153903623459096</v>
      </c>
      <c r="G189" s="76"/>
      <c r="H189" s="76"/>
      <c r="I189" s="76"/>
      <c r="J189" s="76"/>
      <c r="K189" s="76"/>
    </row>
    <row r="191" spans="1:11" ht="15" customHeight="1" x14ac:dyDescent="0.2">
      <c r="A191" s="128" t="s">
        <v>476</v>
      </c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</row>
    <row r="193" spans="1:11" ht="15" customHeight="1" x14ac:dyDescent="0.2">
      <c r="A193" s="133" t="s">
        <v>440</v>
      </c>
      <c r="B193" s="78"/>
      <c r="C193" s="78"/>
      <c r="D193" s="78"/>
      <c r="E193" s="78"/>
      <c r="F193" s="78"/>
      <c r="G193" s="134">
        <v>340</v>
      </c>
      <c r="H193" s="134">
        <v>340</v>
      </c>
      <c r="I193" s="134">
        <v>350</v>
      </c>
      <c r="J193" s="134">
        <v>355</v>
      </c>
      <c r="K193" s="134">
        <v>355</v>
      </c>
    </row>
    <row r="194" spans="1:11" ht="15" customHeight="1" x14ac:dyDescent="0.2">
      <c r="A194" s="135" t="s">
        <v>441</v>
      </c>
      <c r="B194" s="78"/>
      <c r="C194" s="78"/>
      <c r="D194" s="78"/>
      <c r="E194" s="78"/>
      <c r="F194" s="78"/>
      <c r="G194" s="136">
        <v>395</v>
      </c>
      <c r="H194" s="136">
        <v>392</v>
      </c>
      <c r="I194" s="136">
        <v>413</v>
      </c>
      <c r="J194" s="136">
        <v>420</v>
      </c>
      <c r="K194" s="136">
        <v>420</v>
      </c>
    </row>
    <row r="195" spans="1:11" ht="15" customHeight="1" x14ac:dyDescent="0.2">
      <c r="A195" s="137" t="s">
        <v>442</v>
      </c>
      <c r="B195" s="78"/>
      <c r="C195" s="78"/>
      <c r="D195" s="78"/>
      <c r="E195" s="78"/>
      <c r="F195" s="78"/>
      <c r="G195" s="138">
        <v>430</v>
      </c>
      <c r="H195" s="138">
        <v>440</v>
      </c>
      <c r="I195" s="138">
        <v>460</v>
      </c>
      <c r="J195" s="138">
        <v>470</v>
      </c>
      <c r="K195" s="138">
        <v>470</v>
      </c>
    </row>
    <row r="197" spans="1:11" ht="15" customHeight="1" x14ac:dyDescent="0.2">
      <c r="A197" s="128" t="s">
        <v>477</v>
      </c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</row>
    <row r="198" spans="1:11" ht="15" customHeight="1" x14ac:dyDescent="0.2">
      <c r="A198" s="133" t="s">
        <v>440</v>
      </c>
      <c r="B198" s="78"/>
      <c r="C198" s="78"/>
      <c r="D198" s="78"/>
      <c r="E198" s="78"/>
      <c r="F198" s="78"/>
      <c r="G198" s="142">
        <f>G193/G179</f>
        <v>1.2360490057076381</v>
      </c>
      <c r="H198" s="142">
        <f>H193/H179</f>
        <v>1.0000000000000002</v>
      </c>
      <c r="I198" s="142">
        <f>I193/I179</f>
        <v>1.2430610556074484</v>
      </c>
      <c r="J198" s="142">
        <f>J193/J179</f>
        <v>1.2309006690898654</v>
      </c>
      <c r="K198" s="142">
        <f>K193/K179</f>
        <v>1.2031205354272738</v>
      </c>
    </row>
    <row r="199" spans="1:11" ht="15" customHeight="1" x14ac:dyDescent="0.2">
      <c r="A199" s="135" t="s">
        <v>441</v>
      </c>
      <c r="B199" s="78"/>
      <c r="C199" s="78"/>
      <c r="D199" s="78"/>
      <c r="E199" s="78"/>
      <c r="F199" s="78"/>
      <c r="G199" s="143">
        <f>G194/G180</f>
        <v>1.435998109572109</v>
      </c>
      <c r="H199" s="143">
        <f>H194/H180</f>
        <v>1.365553902801824</v>
      </c>
      <c r="I199" s="143">
        <f>I194/I180</f>
        <v>1.3879707632192453</v>
      </c>
      <c r="J199" s="143">
        <f>J194/J180</f>
        <v>1.3587790373911082</v>
      </c>
      <c r="K199" s="143">
        <f>K194/K180</f>
        <v>1.3117173679315404</v>
      </c>
    </row>
    <row r="200" spans="1:11" x14ac:dyDescent="0.2">
      <c r="A200" s="137" t="s">
        <v>442</v>
      </c>
      <c r="B200" s="78"/>
      <c r="C200" s="78"/>
      <c r="D200" s="78"/>
      <c r="E200" s="78"/>
      <c r="F200" s="78"/>
      <c r="G200" s="144">
        <f>G195/G181</f>
        <v>1.563238448394954</v>
      </c>
      <c r="H200" s="144">
        <f>H195/H181</f>
        <v>1.5143015456200548</v>
      </c>
      <c r="I200" s="144">
        <f>I195/I181</f>
        <v>1.5056952924436684</v>
      </c>
      <c r="J200" s="144">
        <f>J195/J181</f>
        <v>1.4643750422760402</v>
      </c>
      <c r="K200" s="144">
        <f>K195/K181</f>
        <v>1.3993908249274034</v>
      </c>
    </row>
    <row r="201" spans="1:11" x14ac:dyDescent="0.2"/>
    <row r="204" spans="1:11" ht="15" customHeight="1" x14ac:dyDescent="0.2">
      <c r="A204" s="127" t="s">
        <v>478</v>
      </c>
      <c r="B204" s="112"/>
      <c r="C204" s="112"/>
      <c r="D204" s="112"/>
      <c r="E204" s="112"/>
      <c r="F204" s="112"/>
      <c r="G204" s="112"/>
      <c r="H204" s="112"/>
      <c r="I204" s="112"/>
      <c r="J204" s="112"/>
      <c r="K204" s="112"/>
    </row>
    <row r="205" spans="1:11" ht="15" customHeight="1" x14ac:dyDescent="0.2">
      <c r="A205" s="128" t="s">
        <v>479</v>
      </c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</row>
    <row r="207" spans="1:11" ht="15" customHeight="1" x14ac:dyDescent="0.2">
      <c r="A207" s="129" t="s">
        <v>480</v>
      </c>
      <c r="B207" s="130">
        <f>'Balance Sheet'!B14</f>
        <v>2869.0709999999999</v>
      </c>
      <c r="C207" s="130">
        <f>'Balance Sheet'!C14</f>
        <v>3393.7</v>
      </c>
      <c r="D207" s="130">
        <f>'Balance Sheet'!D14</f>
        <v>2850.1</v>
      </c>
      <c r="E207" s="130">
        <f>'Balance Sheet'!E14</f>
        <v>2252</v>
      </c>
      <c r="F207" s="130">
        <f>'Balance Sheet'!F14</f>
        <v>2557.3000000000002</v>
      </c>
    </row>
    <row r="208" spans="1:11" ht="15" customHeight="1" x14ac:dyDescent="0.2">
      <c r="A208" s="129" t="s">
        <v>481</v>
      </c>
      <c r="B208" s="130">
        <f>'Balance Sheet'!B15</f>
        <v>1832.0329999999999</v>
      </c>
      <c r="C208" s="130">
        <f>'Balance Sheet'!C15</f>
        <v>1830.5</v>
      </c>
      <c r="D208" s="130">
        <f>'Balance Sheet'!D15</f>
        <v>1357.5</v>
      </c>
      <c r="E208" s="130">
        <f>'Balance Sheet'!E15</f>
        <v>1239</v>
      </c>
      <c r="F208" s="130">
        <f>'Balance Sheet'!F15</f>
        <v>1590.2</v>
      </c>
    </row>
    <row r="209" spans="1:11" ht="15" customHeight="1" x14ac:dyDescent="0.2">
      <c r="A209" s="129" t="s">
        <v>482</v>
      </c>
      <c r="B209" s="130">
        <f>'Balance Sheet'!B29</f>
        <v>2807.9659999999999</v>
      </c>
      <c r="C209" s="130">
        <f>'Balance Sheet'!C29</f>
        <v>3110.0590000000002</v>
      </c>
      <c r="D209" s="130">
        <f>'Balance Sheet'!D29</f>
        <v>2591.4</v>
      </c>
      <c r="E209" s="130">
        <f>'Balance Sheet'!E29</f>
        <v>2852</v>
      </c>
      <c r="F209" s="130">
        <f>'Balance Sheet'!F29</f>
        <v>3312</v>
      </c>
    </row>
    <row r="210" spans="1:11" ht="15" customHeight="1" x14ac:dyDescent="0.2">
      <c r="A210" s="145" t="s">
        <v>483</v>
      </c>
      <c r="B210" s="146">
        <f>B207+B208-B209</f>
        <v>1893.1379999999995</v>
      </c>
      <c r="C210" s="146">
        <f>C207+C208-C209</f>
        <v>2114.1409999999996</v>
      </c>
      <c r="D210" s="146">
        <f>D207+D208-D209</f>
        <v>1616.2000000000003</v>
      </c>
      <c r="E210" s="146">
        <f>E207+E208-E209</f>
        <v>639</v>
      </c>
      <c r="F210" s="146">
        <f>F207+F208-F209</f>
        <v>835.5</v>
      </c>
    </row>
    <row r="212" spans="1:11" ht="15" customHeight="1" x14ac:dyDescent="0.2">
      <c r="A212" s="128" t="s">
        <v>484</v>
      </c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</row>
    <row r="214" spans="1:11" ht="15" customHeight="1" x14ac:dyDescent="0.2">
      <c r="A214" s="129" t="s">
        <v>485</v>
      </c>
      <c r="B214" s="131">
        <f>B207/-'P&amp;L'!B11</f>
        <v>0.13255549960035667</v>
      </c>
      <c r="C214" s="131">
        <f>C207/-'P&amp;L'!C11</f>
        <v>0.14835522720814845</v>
      </c>
      <c r="D214" s="131">
        <f>D207/-'P&amp;L'!D11</f>
        <v>0.18062729341082079</v>
      </c>
      <c r="E214" s="131">
        <f>E207/-'P&amp;L'!E11</f>
        <v>0.17811332119969286</v>
      </c>
      <c r="F214" s="131">
        <f>F207/-'P&amp;L'!F11</f>
        <v>0.15329329113317028</v>
      </c>
    </row>
    <row r="215" spans="1:11" ht="15" customHeight="1" x14ac:dyDescent="0.2">
      <c r="A215" s="129" t="s">
        <v>486</v>
      </c>
      <c r="B215" s="131">
        <f>B208/'P&amp;L'!B5</f>
        <v>7.6162074298257276E-2</v>
      </c>
      <c r="C215" s="131">
        <f>C208/'P&amp;L'!C5</f>
        <v>7.1966346248353685E-2</v>
      </c>
      <c r="D215" s="131">
        <f>D208/'P&amp;L'!D5</f>
        <v>7.4318812650895946E-2</v>
      </c>
      <c r="E215" s="131">
        <f>E208/'P&amp;L'!E5</f>
        <v>7.6496686378403608E-2</v>
      </c>
      <c r="F215" s="131">
        <f>F208/'P&amp;L'!F5</f>
        <v>7.5769632110847987E-2</v>
      </c>
    </row>
    <row r="216" spans="1:11" ht="15" customHeight="1" x14ac:dyDescent="0.2">
      <c r="A216" s="129" t="s">
        <v>487</v>
      </c>
      <c r="B216" s="131">
        <f>B209/'P&amp;L'!B5</f>
        <v>0.11673398629772515</v>
      </c>
      <c r="C216" s="131">
        <f>C209/'P&amp;L'!C5</f>
        <v>0.12227237522360482</v>
      </c>
      <c r="D216" s="131">
        <f>D209/'P&amp;L'!D5</f>
        <v>0.14187091793998655</v>
      </c>
      <c r="E216" s="131">
        <f>E209/'P&amp;L'!E5</f>
        <v>0.17608438220436406</v>
      </c>
      <c r="F216" s="131">
        <f>F209/'P&amp;L'!F5</f>
        <v>0.15780972302297103</v>
      </c>
    </row>
    <row r="218" spans="1:11" ht="15" customHeight="1" x14ac:dyDescent="0.2">
      <c r="A218" s="128" t="s">
        <v>488</v>
      </c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</row>
    <row r="220" spans="1:11" ht="39.75" customHeight="1" x14ac:dyDescent="0.2">
      <c r="A220" s="129" t="s">
        <v>489</v>
      </c>
      <c r="B220" s="332">
        <f>'P&amp;L'!F12</f>
        <v>0.79488071357439982</v>
      </c>
    </row>
    <row r="221" spans="1:11" ht="52.5" customHeight="1" x14ac:dyDescent="0.2">
      <c r="A221" s="129" t="s">
        <v>490</v>
      </c>
      <c r="B221" s="147">
        <f>'P&amp;L'!F5-'P&amp;L'!F9</f>
        <v>17378.3</v>
      </c>
    </row>
    <row r="222" spans="1:11" ht="52.5" customHeight="1" x14ac:dyDescent="0.2">
      <c r="A222" s="129" t="s">
        <v>491</v>
      </c>
      <c r="B222" s="332">
        <f>AVERAGE(B214:F214)</f>
        <v>0.15858892651043782</v>
      </c>
    </row>
    <row r="223" spans="1:11" ht="27" customHeight="1" x14ac:dyDescent="0.2">
      <c r="A223" s="129" t="s">
        <v>492</v>
      </c>
      <c r="B223" s="132">
        <f>AVERAGE(B215:F215)</f>
        <v>7.4942710337351698E-2</v>
      </c>
      <c r="C223" s="333"/>
    </row>
    <row r="224" spans="1:11" ht="39.75" customHeight="1" x14ac:dyDescent="0.2">
      <c r="A224" s="129" t="s">
        <v>493</v>
      </c>
      <c r="B224" s="332">
        <v>0.15</v>
      </c>
    </row>
    <row r="226" spans="1:11" ht="15" customHeight="1" x14ac:dyDescent="0.2">
      <c r="A226" s="128" t="s">
        <v>494</v>
      </c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</row>
    <row r="228" spans="1:11" ht="15" customHeight="1" x14ac:dyDescent="0.2">
      <c r="A228" s="133" t="s">
        <v>495</v>
      </c>
      <c r="B228" s="130">
        <f>'P&amp;L'!B5</f>
        <v>24054.400000000001</v>
      </c>
      <c r="C228" s="130">
        <f>'P&amp;L'!C5</f>
        <v>25435.5</v>
      </c>
      <c r="D228" s="130">
        <f>'P&amp;L'!D5</f>
        <v>18265.899999999998</v>
      </c>
      <c r="E228" s="130">
        <f>'P&amp;L'!E5</f>
        <v>16196.78</v>
      </c>
      <c r="F228" s="130">
        <f>'P&amp;L'!F5</f>
        <v>20987.3</v>
      </c>
      <c r="G228" s="148">
        <f>G74+$B$221</f>
        <v>20975.739999999998</v>
      </c>
      <c r="H228" s="148">
        <f>H74+$B$221</f>
        <v>20975.41</v>
      </c>
      <c r="I228" s="148">
        <f>I74+$B$221</f>
        <v>21000.143899999999</v>
      </c>
      <c r="J228" s="148">
        <f>J74+$B$221</f>
        <v>21044.468107000001</v>
      </c>
      <c r="K228" s="148">
        <f>K74+$B$221</f>
        <v>21086.1678278</v>
      </c>
    </row>
    <row r="229" spans="1:11" ht="15" customHeight="1" x14ac:dyDescent="0.2">
      <c r="A229" s="133" t="s">
        <v>496</v>
      </c>
      <c r="B229" s="330">
        <f>'P&amp;L'!B11</f>
        <v>-21644.3</v>
      </c>
      <c r="C229" s="330">
        <f>'P&amp;L'!C11</f>
        <v>-22875.5</v>
      </c>
      <c r="D229" s="330">
        <f>'P&amp;L'!D11</f>
        <v>-15778.9</v>
      </c>
      <c r="E229" s="330">
        <f>'P&amp;L'!E11</f>
        <v>-12643.636</v>
      </c>
      <c r="F229" s="330">
        <f>'P&amp;L'!F11</f>
        <v>-16682.400000000001</v>
      </c>
      <c r="G229" s="148">
        <f>G228*$B$220</f>
        <v>16673.211178951078</v>
      </c>
      <c r="H229" s="148">
        <f>H228*$B$220</f>
        <v>16672.948868315601</v>
      </c>
      <c r="I229" s="148">
        <f>I228*$B$220</f>
        <v>16692.609368397079</v>
      </c>
      <c r="J229" s="148">
        <f>J228*$B$220</f>
        <v>16727.84182568586</v>
      </c>
      <c r="K229" s="148">
        <f>K228*$B$220</f>
        <v>16760.988129511217</v>
      </c>
    </row>
    <row r="230" spans="1:11" ht="15" customHeight="1" x14ac:dyDescent="0.2">
      <c r="A230" s="133" t="s">
        <v>497</v>
      </c>
      <c r="B230" s="130">
        <f>'Balance Sheet'!B14</f>
        <v>2869.0709999999999</v>
      </c>
      <c r="C230" s="130">
        <f>'Balance Sheet'!C14</f>
        <v>3393.7</v>
      </c>
      <c r="D230" s="130">
        <f>'Balance Sheet'!D14</f>
        <v>2850.1</v>
      </c>
      <c r="E230" s="130">
        <f>'Balance Sheet'!E14</f>
        <v>2252</v>
      </c>
      <c r="F230" s="130">
        <f>'Balance Sheet'!F14</f>
        <v>2557.3000000000002</v>
      </c>
      <c r="G230" s="134">
        <f>G229*$B$222</f>
        <v>2644.186662351683</v>
      </c>
      <c r="H230" s="134">
        <f>H229*$B$222</f>
        <v>2644.1450627895902</v>
      </c>
      <c r="I230" s="134">
        <f>I229*$B$222</f>
        <v>2647.2630003921704</v>
      </c>
      <c r="J230" s="134">
        <f>J229*$B$222</f>
        <v>2652.8504779719228</v>
      </c>
      <c r="K230" s="134">
        <f>K229*$B$222</f>
        <v>2658.1071147133753</v>
      </c>
    </row>
    <row r="231" spans="1:11" ht="15" customHeight="1" x14ac:dyDescent="0.2">
      <c r="A231" s="133" t="s">
        <v>498</v>
      </c>
      <c r="B231" s="130">
        <f>'Balance Sheet'!B15</f>
        <v>1832.0329999999999</v>
      </c>
      <c r="C231" s="130">
        <f>'Balance Sheet'!C15</f>
        <v>1830.5</v>
      </c>
      <c r="D231" s="130">
        <f>'Balance Sheet'!D15</f>
        <v>1357.5</v>
      </c>
      <c r="E231" s="130">
        <f>'Balance Sheet'!E15</f>
        <v>1239</v>
      </c>
      <c r="F231" s="130">
        <f>'Balance Sheet'!F15</f>
        <v>1590.2</v>
      </c>
      <c r="G231" s="134">
        <f>G228*$B$223</f>
        <v>1571.9788069316014</v>
      </c>
      <c r="H231" s="134">
        <f>H228*$B$223</f>
        <v>1571.9540758371902</v>
      </c>
      <c r="I231" s="134">
        <f>I228*$B$223</f>
        <v>1573.8077013404031</v>
      </c>
      <c r="J231" s="134">
        <f>J228*$B$223</f>
        <v>1577.1294775465371</v>
      </c>
      <c r="K231" s="134">
        <f>K228*$B$223</f>
        <v>1580.2545676435998</v>
      </c>
    </row>
    <row r="232" spans="1:11" ht="15" customHeight="1" x14ac:dyDescent="0.2">
      <c r="A232" s="133" t="s">
        <v>499</v>
      </c>
      <c r="B232" s="130">
        <f>'Balance Sheet'!B29</f>
        <v>2807.9659999999999</v>
      </c>
      <c r="C232" s="130">
        <f>'Balance Sheet'!C29</f>
        <v>3110.0590000000002</v>
      </c>
      <c r="D232" s="130">
        <f>'Balance Sheet'!D29</f>
        <v>2591.4</v>
      </c>
      <c r="E232" s="130">
        <f>'Balance Sheet'!E29</f>
        <v>2852</v>
      </c>
      <c r="F232" s="130">
        <f>'Balance Sheet'!F29</f>
        <v>3312</v>
      </c>
      <c r="G232" s="134">
        <f>G228*$B$224</f>
        <v>3146.3609999999994</v>
      </c>
      <c r="H232" s="134">
        <f>H228*$B$224</f>
        <v>3146.3114999999998</v>
      </c>
      <c r="I232" s="134">
        <f>I228*$B$224</f>
        <v>3150.021585</v>
      </c>
      <c r="J232" s="134">
        <f>J228*$B$224</f>
        <v>3156.6702160499999</v>
      </c>
      <c r="K232" s="134">
        <f>K228*$B$224</f>
        <v>3162.92517417</v>
      </c>
    </row>
    <row r="233" spans="1:11" ht="15" customHeight="1" x14ac:dyDescent="0.2">
      <c r="A233" s="149" t="s">
        <v>500</v>
      </c>
      <c r="B233" s="146">
        <f t="shared" ref="B233:K233" si="16">B230+B231-B232</f>
        <v>1893.1379999999995</v>
      </c>
      <c r="C233" s="146">
        <f t="shared" si="16"/>
        <v>2114.1409999999996</v>
      </c>
      <c r="D233" s="146">
        <f t="shared" si="16"/>
        <v>1616.2000000000003</v>
      </c>
      <c r="E233" s="146">
        <f t="shared" si="16"/>
        <v>639</v>
      </c>
      <c r="F233" s="146">
        <f t="shared" si="16"/>
        <v>835.5</v>
      </c>
      <c r="G233" s="150">
        <f t="shared" si="16"/>
        <v>1069.804469283285</v>
      </c>
      <c r="H233" s="150">
        <f t="shared" si="16"/>
        <v>1069.7876386267808</v>
      </c>
      <c r="I233" s="150">
        <f t="shared" si="16"/>
        <v>1071.0491167325731</v>
      </c>
      <c r="J233" s="150">
        <f t="shared" si="16"/>
        <v>1073.3097394684601</v>
      </c>
      <c r="K233" s="150">
        <f t="shared" si="16"/>
        <v>1075.4365081869755</v>
      </c>
    </row>
    <row r="234" spans="1:11" ht="15" customHeight="1" x14ac:dyDescent="0.2">
      <c r="A234" s="133" t="s">
        <v>501</v>
      </c>
      <c r="B234" s="151">
        <f>-'Cash Flow'!B24</f>
        <v>-127.584</v>
      </c>
      <c r="C234" s="151">
        <f>C233-B233</f>
        <v>221.00300000000016</v>
      </c>
      <c r="D234" s="151">
        <f>D233-C233</f>
        <v>-497.94099999999935</v>
      </c>
      <c r="E234" s="151">
        <f t="shared" ref="E234:K234" si="17">E233-D233</f>
        <v>-977.20000000000027</v>
      </c>
      <c r="F234" s="151">
        <f t="shared" si="17"/>
        <v>196.5</v>
      </c>
      <c r="G234" s="152">
        <f t="shared" si="17"/>
        <v>234.30446928328502</v>
      </c>
      <c r="H234" s="152">
        <f t="shared" si="17"/>
        <v>-1.6830656504225772E-2</v>
      </c>
      <c r="I234" s="152">
        <f t="shared" si="17"/>
        <v>1.261478105792321</v>
      </c>
      <c r="J234" s="152">
        <f t="shared" si="17"/>
        <v>2.2606227358869546</v>
      </c>
      <c r="K234" s="152">
        <f t="shared" si="17"/>
        <v>2.12676871851545</v>
      </c>
    </row>
    <row r="236" spans="1:11" ht="15" customHeight="1" x14ac:dyDescent="0.2">
      <c r="A236" s="135" t="s">
        <v>502</v>
      </c>
      <c r="B236" s="130">
        <f>'P&amp;L'!B5</f>
        <v>24054.400000000001</v>
      </c>
      <c r="C236" s="130">
        <f>'P&amp;L'!C5</f>
        <v>25435.5</v>
      </c>
      <c r="D236" s="130">
        <f>'P&amp;L'!D5</f>
        <v>18265.899999999998</v>
      </c>
      <c r="E236" s="130">
        <f>'P&amp;L'!E5</f>
        <v>16196.78</v>
      </c>
      <c r="F236" s="130">
        <f>'P&amp;L'!F5</f>
        <v>20987.3</v>
      </c>
      <c r="G236" s="153">
        <f>G75+$B$221</f>
        <v>21118.48</v>
      </c>
      <c r="H236" s="153">
        <f>H75+$B$221</f>
        <v>21309.639899999998</v>
      </c>
      <c r="I236" s="153">
        <f>I75+$B$221</f>
        <v>21628.134991999999</v>
      </c>
      <c r="J236" s="153">
        <f>J75+$B$221</f>
        <v>21865.79292244</v>
      </c>
      <c r="K236" s="153">
        <f>K75+$B$221</f>
        <v>22056.748233562001</v>
      </c>
    </row>
    <row r="237" spans="1:11" ht="15" customHeight="1" x14ac:dyDescent="0.2">
      <c r="A237" s="135" t="s">
        <v>503</v>
      </c>
      <c r="B237" s="330">
        <f>'P&amp;L'!B11</f>
        <v>-21644.3</v>
      </c>
      <c r="C237" s="330">
        <f>'P&amp;L'!C11</f>
        <v>-22875.5</v>
      </c>
      <c r="D237" s="330">
        <f>'P&amp;L'!D11</f>
        <v>-15778.9</v>
      </c>
      <c r="E237" s="330">
        <f>'P&amp;L'!E11</f>
        <v>-12643.636</v>
      </c>
      <c r="F237" s="330">
        <f>'P&amp;L'!F11</f>
        <v>-16682.400000000001</v>
      </c>
      <c r="G237" s="153">
        <f>G236*$B$220</f>
        <v>16786.672452006689</v>
      </c>
      <c r="H237" s="153">
        <f>H236*$B$220</f>
        <v>16938.621769725502</v>
      </c>
      <c r="I237" s="153">
        <f>I236*$B$220</f>
        <v>17191.787375724405</v>
      </c>
      <c r="J237" s="153">
        <f>J236*$B$220</f>
        <v>17380.697081059167</v>
      </c>
      <c r="K237" s="153">
        <f>K236*$B$220</f>
        <v>17532.483775024644</v>
      </c>
    </row>
    <row r="238" spans="1:11" ht="15" customHeight="1" x14ac:dyDescent="0.2">
      <c r="A238" s="135" t="s">
        <v>504</v>
      </c>
      <c r="B238" s="130">
        <f>'Balance Sheet'!B14</f>
        <v>2869.0709999999999</v>
      </c>
      <c r="C238" s="130">
        <f>'Balance Sheet'!C14</f>
        <v>3393.7</v>
      </c>
      <c r="D238" s="130">
        <f>'Balance Sheet'!D14</f>
        <v>2850.1</v>
      </c>
      <c r="E238" s="130">
        <f>'Balance Sheet'!E14</f>
        <v>2252</v>
      </c>
      <c r="F238" s="130">
        <f>'Balance Sheet'!F14</f>
        <v>2557.3000000000002</v>
      </c>
      <c r="G238" s="136">
        <f>G237*$B$222</f>
        <v>2662.1803638460801</v>
      </c>
      <c r="H238" s="136">
        <f>H237*$B$222</f>
        <v>2686.2778430270996</v>
      </c>
      <c r="I238" s="136">
        <f>I237*$B$222</f>
        <v>2726.4271047118305</v>
      </c>
      <c r="J238" s="136">
        <f>J237*$B$222</f>
        <v>2756.3860920882735</v>
      </c>
      <c r="K238" s="136">
        <f>K237*$B$222</f>
        <v>2780.457780942827</v>
      </c>
    </row>
    <row r="239" spans="1:11" ht="15" customHeight="1" x14ac:dyDescent="0.2">
      <c r="A239" s="135" t="s">
        <v>505</v>
      </c>
      <c r="B239" s="130">
        <f>'Balance Sheet'!B15</f>
        <v>1832.0329999999999</v>
      </c>
      <c r="C239" s="130">
        <f>'Balance Sheet'!C15</f>
        <v>1830.5</v>
      </c>
      <c r="D239" s="130">
        <f>'Balance Sheet'!D15</f>
        <v>1357.5</v>
      </c>
      <c r="E239" s="130">
        <f>'Balance Sheet'!E15</f>
        <v>1239</v>
      </c>
      <c r="F239" s="130">
        <f>'Balance Sheet'!F15</f>
        <v>1590.2</v>
      </c>
      <c r="G239" s="136">
        <f>G236*$B$223</f>
        <v>1582.6761294051551</v>
      </c>
      <c r="H239" s="136">
        <f>H236*$B$223</f>
        <v>1597.0021704189721</v>
      </c>
      <c r="I239" s="136">
        <f>I236*$B$223</f>
        <v>1620.8710558425964</v>
      </c>
      <c r="J239" s="136">
        <f>J236*$B$223</f>
        <v>1638.6817852829358</v>
      </c>
      <c r="K239" s="136">
        <f>K236*$B$223</f>
        <v>1652.9924938517308</v>
      </c>
    </row>
    <row r="240" spans="1:11" ht="15" customHeight="1" x14ac:dyDescent="0.2">
      <c r="A240" s="135" t="s">
        <v>506</v>
      </c>
      <c r="B240" s="130">
        <f>'Balance Sheet'!B29</f>
        <v>2807.9659999999999</v>
      </c>
      <c r="C240" s="130">
        <f>'Balance Sheet'!C29</f>
        <v>3110.0590000000002</v>
      </c>
      <c r="D240" s="130">
        <f>'Balance Sheet'!D29</f>
        <v>2591.4</v>
      </c>
      <c r="E240" s="130">
        <f>'Balance Sheet'!E29</f>
        <v>2852</v>
      </c>
      <c r="F240" s="130">
        <f>'Balance Sheet'!F29</f>
        <v>3312</v>
      </c>
      <c r="G240" s="136">
        <f>G236*$B$224</f>
        <v>3167.7719999999999</v>
      </c>
      <c r="H240" s="136">
        <f>H236*$B$224</f>
        <v>3196.4459849999998</v>
      </c>
      <c r="I240" s="136">
        <f>I236*$B$224</f>
        <v>3244.2202487999998</v>
      </c>
      <c r="J240" s="136">
        <f>J236*$B$224</f>
        <v>3279.8689383659998</v>
      </c>
      <c r="K240" s="136">
        <f>K236*$B$224</f>
        <v>3308.5122350342999</v>
      </c>
    </row>
    <row r="241" spans="1:11" ht="15" customHeight="1" x14ac:dyDescent="0.2">
      <c r="A241" s="154" t="s">
        <v>507</v>
      </c>
      <c r="B241" s="146">
        <f t="shared" ref="B241:K241" si="18">B238+B239-B240</f>
        <v>1893.1379999999995</v>
      </c>
      <c r="C241" s="146">
        <f t="shared" si="18"/>
        <v>2114.1409999999996</v>
      </c>
      <c r="D241" s="146">
        <f t="shared" si="18"/>
        <v>1616.2000000000003</v>
      </c>
      <c r="E241" s="146">
        <f t="shared" si="18"/>
        <v>639</v>
      </c>
      <c r="F241" s="146">
        <f t="shared" si="18"/>
        <v>835.5</v>
      </c>
      <c r="G241" s="155">
        <f t="shared" si="18"/>
        <v>1077.0844932512355</v>
      </c>
      <c r="H241" s="155">
        <f t="shared" si="18"/>
        <v>1086.8340284460724</v>
      </c>
      <c r="I241" s="155">
        <f t="shared" si="18"/>
        <v>1103.0779117544266</v>
      </c>
      <c r="J241" s="155">
        <f t="shared" si="18"/>
        <v>1115.1989390052099</v>
      </c>
      <c r="K241" s="155">
        <f t="shared" si="18"/>
        <v>1124.9380397602581</v>
      </c>
    </row>
    <row r="242" spans="1:11" ht="15" customHeight="1" x14ac:dyDescent="0.2">
      <c r="A242" s="135" t="s">
        <v>508</v>
      </c>
      <c r="B242" s="151">
        <f>B234</f>
        <v>-127.584</v>
      </c>
      <c r="C242" s="151">
        <f>C241-B241</f>
        <v>221.00300000000016</v>
      </c>
      <c r="D242" s="151">
        <f>D241-C241</f>
        <v>-497.94099999999935</v>
      </c>
      <c r="E242" s="151">
        <f t="shared" ref="E242:K242" si="19">E241-D241</f>
        <v>-977.20000000000027</v>
      </c>
      <c r="F242" s="151">
        <f t="shared" si="19"/>
        <v>196.5</v>
      </c>
      <c r="G242" s="155">
        <f t="shared" si="19"/>
        <v>241.58449325123547</v>
      </c>
      <c r="H242" s="155">
        <f t="shared" si="19"/>
        <v>9.7495351948368807</v>
      </c>
      <c r="I242" s="155">
        <f t="shared" si="19"/>
        <v>16.24388330835427</v>
      </c>
      <c r="J242" s="155">
        <f t="shared" si="19"/>
        <v>12.1210272507833</v>
      </c>
      <c r="K242" s="155">
        <f t="shared" si="19"/>
        <v>9.7391007550481845</v>
      </c>
    </row>
    <row r="244" spans="1:11" ht="15" customHeight="1" x14ac:dyDescent="0.2">
      <c r="A244" s="137" t="s">
        <v>509</v>
      </c>
      <c r="B244" s="130">
        <f>'P&amp;L'!B5</f>
        <v>24054.400000000001</v>
      </c>
      <c r="C244" s="130">
        <f>'P&amp;L'!C5</f>
        <v>25435.5</v>
      </c>
      <c r="D244" s="130">
        <f>'P&amp;L'!D5</f>
        <v>18265.899999999998</v>
      </c>
      <c r="E244" s="130">
        <f>'P&amp;L'!E5</f>
        <v>16196.78</v>
      </c>
      <c r="F244" s="130">
        <f>'P&amp;L'!F5</f>
        <v>20987.3</v>
      </c>
      <c r="G244" s="156">
        <f>G76+$B$221</f>
        <v>21200.475999999999</v>
      </c>
      <c r="H244" s="156">
        <f>H76+$B$221</f>
        <v>21525.280999999999</v>
      </c>
      <c r="I244" s="156">
        <f>I76+$B$221</f>
        <v>22016.8521</v>
      </c>
      <c r="J244" s="156">
        <f>J76+$B$221</f>
        <v>22433.455501999997</v>
      </c>
      <c r="K244" s="156">
        <f>K76+$B$221</f>
        <v>22792.255595909999</v>
      </c>
    </row>
    <row r="245" spans="1:11" ht="15" customHeight="1" x14ac:dyDescent="0.2">
      <c r="A245" s="137" t="s">
        <v>510</v>
      </c>
      <c r="B245" s="330">
        <f>'P&amp;L'!B11</f>
        <v>-21644.3</v>
      </c>
      <c r="C245" s="330">
        <f>'P&amp;L'!C11</f>
        <v>-22875.5</v>
      </c>
      <c r="D245" s="330">
        <f>'P&amp;L'!D11</f>
        <v>-15778.9</v>
      </c>
      <c r="E245" s="330">
        <f>'P&amp;L'!E11</f>
        <v>-12643.636</v>
      </c>
      <c r="F245" s="330">
        <f>'P&amp;L'!F11</f>
        <v>-16682.400000000001</v>
      </c>
      <c r="G245" s="156">
        <f>G244*$B$220</f>
        <v>16851.849490996938</v>
      </c>
      <c r="H245" s="156">
        <f>H244*$B$220</f>
        <v>17110.030721169471</v>
      </c>
      <c r="I245" s="156">
        <f>I244*$B$220</f>
        <v>17500.771107910023</v>
      </c>
      <c r="J245" s="156">
        <f>J244*$B$220</f>
        <v>17831.921117369304</v>
      </c>
      <c r="K245" s="156">
        <f>K244*$B$220</f>
        <v>18117.124392047048</v>
      </c>
    </row>
    <row r="246" spans="1:11" ht="15" customHeight="1" x14ac:dyDescent="0.2">
      <c r="A246" s="137" t="s">
        <v>511</v>
      </c>
      <c r="B246" s="130">
        <f>'Balance Sheet'!B14</f>
        <v>2869.0709999999999</v>
      </c>
      <c r="C246" s="130">
        <f>'Balance Sheet'!C14</f>
        <v>3393.7</v>
      </c>
      <c r="D246" s="130">
        <f>'Balance Sheet'!D14</f>
        <v>2850.1</v>
      </c>
      <c r="E246" s="130">
        <f>'Balance Sheet'!E14</f>
        <v>2252</v>
      </c>
      <c r="F246" s="130">
        <f>'Balance Sheet'!F14</f>
        <v>2557.3000000000002</v>
      </c>
      <c r="G246" s="138">
        <f>G245*$B$222</f>
        <v>2672.5167204926724</v>
      </c>
      <c r="H246" s="138">
        <f>H245*$B$222</f>
        <v>2713.4614046308789</v>
      </c>
      <c r="I246" s="138">
        <f>I245*$B$222</f>
        <v>2775.4285031083359</v>
      </c>
      <c r="J246" s="138">
        <f>J245*$B$222</f>
        <v>2827.9452276224047</v>
      </c>
      <c r="K246" s="138">
        <f>K245*$B$222</f>
        <v>2873.1753087908096</v>
      </c>
    </row>
    <row r="247" spans="1:11" ht="15" customHeight="1" x14ac:dyDescent="0.2">
      <c r="A247" s="137" t="s">
        <v>512</v>
      </c>
      <c r="B247" s="130">
        <f>'Balance Sheet'!B15</f>
        <v>1832.0329999999999</v>
      </c>
      <c r="C247" s="130">
        <f>'Balance Sheet'!C15</f>
        <v>1830.5</v>
      </c>
      <c r="D247" s="130">
        <f>'Balance Sheet'!D15</f>
        <v>1357.5</v>
      </c>
      <c r="E247" s="130">
        <f>'Balance Sheet'!E15</f>
        <v>1239</v>
      </c>
      <c r="F247" s="130">
        <f>'Balance Sheet'!F15</f>
        <v>1590.2</v>
      </c>
      <c r="G247" s="138">
        <f>G244*$B$223</f>
        <v>1588.8211318819765</v>
      </c>
      <c r="H247" s="138">
        <f>H244*$B$223</f>
        <v>1613.1628989131</v>
      </c>
      <c r="I247" s="138">
        <f>I244*$B$223</f>
        <v>1650.0025694706135</v>
      </c>
      <c r="J247" s="138">
        <f>J244*$B$223</f>
        <v>1681.2239575522544</v>
      </c>
      <c r="K247" s="138">
        <f>K244*$B$223</f>
        <v>1708.1134090591663</v>
      </c>
    </row>
    <row r="248" spans="1:11" ht="15" customHeight="1" x14ac:dyDescent="0.2">
      <c r="A248" s="137" t="s">
        <v>513</v>
      </c>
      <c r="B248" s="130">
        <f>'Balance Sheet'!B29</f>
        <v>2807.9659999999999</v>
      </c>
      <c r="C248" s="130">
        <f>'Balance Sheet'!C29</f>
        <v>3110.0590000000002</v>
      </c>
      <c r="D248" s="130">
        <f>'Balance Sheet'!D29</f>
        <v>2591.4</v>
      </c>
      <c r="E248" s="130">
        <f>'Balance Sheet'!E29</f>
        <v>2852</v>
      </c>
      <c r="F248" s="130">
        <f>'Balance Sheet'!F29</f>
        <v>3312</v>
      </c>
      <c r="G248" s="138">
        <f>G244*$B$224</f>
        <v>3180.0713999999998</v>
      </c>
      <c r="H248" s="138">
        <f>H244*$B$224</f>
        <v>3228.7921499999998</v>
      </c>
      <c r="I248" s="138">
        <f>I244*$B$224</f>
        <v>3302.5278149999999</v>
      </c>
      <c r="J248" s="138">
        <f>J244*$B$224</f>
        <v>3365.0183252999996</v>
      </c>
      <c r="K248" s="138">
        <f>K244*$B$224</f>
        <v>3418.8383393864997</v>
      </c>
    </row>
    <row r="249" spans="1:11" ht="15" customHeight="1" x14ac:dyDescent="0.2">
      <c r="A249" s="157" t="s">
        <v>514</v>
      </c>
      <c r="B249" s="146">
        <f t="shared" ref="B249:K249" si="20">B246+B247-B248</f>
        <v>1893.1379999999995</v>
      </c>
      <c r="C249" s="146">
        <f t="shared" si="20"/>
        <v>2114.1409999999996</v>
      </c>
      <c r="D249" s="146">
        <f t="shared" si="20"/>
        <v>1616.2000000000003</v>
      </c>
      <c r="E249" s="146">
        <f t="shared" si="20"/>
        <v>639</v>
      </c>
      <c r="F249" s="146">
        <f t="shared" si="20"/>
        <v>835.5</v>
      </c>
      <c r="G249" s="158">
        <f t="shared" si="20"/>
        <v>1081.2664523746489</v>
      </c>
      <c r="H249" s="158">
        <f t="shared" si="20"/>
        <v>1097.8321535439786</v>
      </c>
      <c r="I249" s="158">
        <f t="shared" si="20"/>
        <v>1122.9032575789493</v>
      </c>
      <c r="J249" s="158">
        <f t="shared" si="20"/>
        <v>1144.1508598746595</v>
      </c>
      <c r="K249" s="158">
        <f t="shared" si="20"/>
        <v>1162.4503784634762</v>
      </c>
    </row>
    <row r="250" spans="1:11" ht="15" customHeight="1" x14ac:dyDescent="0.2">
      <c r="A250" s="137" t="s">
        <v>515</v>
      </c>
      <c r="B250" s="151">
        <f>B242</f>
        <v>-127.584</v>
      </c>
      <c r="C250" s="151">
        <f>C249-B249</f>
        <v>221.00300000000016</v>
      </c>
      <c r="D250" s="151">
        <f>D249-C249</f>
        <v>-497.94099999999935</v>
      </c>
      <c r="E250" s="151">
        <f t="shared" ref="E250:K250" si="21">E249-D249</f>
        <v>-977.20000000000027</v>
      </c>
      <c r="F250" s="151">
        <f t="shared" si="21"/>
        <v>196.5</v>
      </c>
      <c r="G250" s="158">
        <f t="shared" si="21"/>
        <v>245.76645237464891</v>
      </c>
      <c r="H250" s="158">
        <f t="shared" si="21"/>
        <v>16.565701169329714</v>
      </c>
      <c r="I250" s="158">
        <f t="shared" si="21"/>
        <v>25.071104034970631</v>
      </c>
      <c r="J250" s="158">
        <f t="shared" si="21"/>
        <v>21.247602295710294</v>
      </c>
      <c r="K250" s="158">
        <f t="shared" si="21"/>
        <v>18.299518588816682</v>
      </c>
    </row>
    <row r="252" spans="1:11" ht="60.75" customHeight="1" x14ac:dyDescent="0.2">
      <c r="A252" s="139"/>
    </row>
    <row r="266" ht="48.75" customHeight="1" x14ac:dyDescent="0.2"/>
  </sheetData>
  <mergeCells count="34">
    <mergeCell ref="A80:K80"/>
    <mergeCell ref="A79:K79"/>
    <mergeCell ref="A68:L68"/>
    <mergeCell ref="A89:K89"/>
    <mergeCell ref="A100:K100"/>
    <mergeCell ref="A136:K136"/>
    <mergeCell ref="A94:K94"/>
    <mergeCell ref="A2:L2"/>
    <mergeCell ref="A131:K131"/>
    <mergeCell ref="A33:L33"/>
    <mergeCell ref="A3:L3"/>
    <mergeCell ref="A57:L57"/>
    <mergeCell ref="A50:L50"/>
    <mergeCell ref="A58:L58"/>
    <mergeCell ref="A39:L39"/>
    <mergeCell ref="G4:K4"/>
    <mergeCell ref="A106:K106"/>
    <mergeCell ref="A6:L6"/>
    <mergeCell ref="A40:L40"/>
    <mergeCell ref="A83:K83"/>
    <mergeCell ref="A122:K122"/>
    <mergeCell ref="A84:K84"/>
    <mergeCell ref="A105:K105"/>
    <mergeCell ref="A117:K117"/>
    <mergeCell ref="A95:K95"/>
    <mergeCell ref="A111:K111"/>
    <mergeCell ref="A116:K116"/>
    <mergeCell ref="B4:F4"/>
    <mergeCell ref="A16:L16"/>
    <mergeCell ref="A128:K128"/>
    <mergeCell ref="A127:K127"/>
    <mergeCell ref="A5:L5"/>
    <mergeCell ref="A23:L23"/>
    <mergeCell ref="A22:L22"/>
  </mergeCell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5"/>
  <sheetViews>
    <sheetView zoomScale="135" zoomScaleNormal="135" workbookViewId="0">
      <selection activeCell="A40" sqref="A40:E40"/>
    </sheetView>
  </sheetViews>
  <sheetFormatPr baseColWidth="10" defaultColWidth="8.6640625" defaultRowHeight="15" x14ac:dyDescent="0.2"/>
  <cols>
    <col min="1" max="1" width="66.33203125" customWidth="1"/>
    <col min="2" max="2" width="14" customWidth="1"/>
    <col min="3" max="3" width="22.33203125" customWidth="1"/>
    <col min="4" max="4" width="14" customWidth="1"/>
    <col min="5" max="5" width="65" hidden="1" customWidth="1"/>
  </cols>
  <sheetData>
    <row r="1" spans="1:5" ht="24" customHeight="1" x14ac:dyDescent="0.2">
      <c r="A1" s="283" t="s">
        <v>658</v>
      </c>
      <c r="B1" s="282"/>
      <c r="C1" s="282"/>
      <c r="D1" s="282"/>
      <c r="E1" s="282"/>
    </row>
    <row r="2" spans="1:5" ht="27.75" customHeight="1" x14ac:dyDescent="0.2">
      <c r="A2" s="284"/>
      <c r="B2" s="282"/>
      <c r="C2" s="282"/>
      <c r="D2" s="282"/>
      <c r="E2" s="282"/>
    </row>
    <row r="4" spans="1:5" ht="21.75" customHeight="1" x14ac:dyDescent="0.2">
      <c r="A4" s="286" t="s">
        <v>654</v>
      </c>
      <c r="B4" s="282"/>
      <c r="C4" s="282"/>
      <c r="D4" s="282"/>
      <c r="E4" s="282"/>
    </row>
    <row r="5" spans="1:5" ht="30" customHeight="1" x14ac:dyDescent="0.2">
      <c r="A5" s="285"/>
      <c r="B5" s="282"/>
      <c r="C5" s="282"/>
      <c r="D5" s="282"/>
      <c r="E5" s="282"/>
    </row>
    <row r="6" spans="1:5" ht="15" customHeight="1" x14ac:dyDescent="0.2">
      <c r="A6" s="180" t="s">
        <v>516</v>
      </c>
      <c r="B6" s="180" t="s">
        <v>517</v>
      </c>
      <c r="C6" s="180"/>
      <c r="D6" s="180"/>
      <c r="E6" s="180" t="s">
        <v>518</v>
      </c>
    </row>
    <row r="7" spans="1:5" ht="15" customHeight="1" x14ac:dyDescent="0.2">
      <c r="A7" t="s">
        <v>590</v>
      </c>
      <c r="B7" s="181">
        <v>3.0329999999999999E-2</v>
      </c>
      <c r="E7" s="182" t="s">
        <v>519</v>
      </c>
    </row>
    <row r="8" spans="1:5" ht="15" customHeight="1" x14ac:dyDescent="0.2">
      <c r="A8" t="s">
        <v>650</v>
      </c>
      <c r="B8" s="181">
        <v>1.4999999999999999E-2</v>
      </c>
      <c r="E8" s="182" t="s">
        <v>587</v>
      </c>
    </row>
    <row r="9" spans="1:5" ht="15" customHeight="1" x14ac:dyDescent="0.2">
      <c r="A9" t="s">
        <v>653</v>
      </c>
      <c r="B9" s="183">
        <f>B7+B8</f>
        <v>4.5329999999999995E-2</v>
      </c>
      <c r="E9" s="182" t="s">
        <v>520</v>
      </c>
    </row>
    <row r="10" spans="1:5" ht="15" customHeight="1" x14ac:dyDescent="0.2">
      <c r="A10" t="s">
        <v>521</v>
      </c>
      <c r="B10" s="181">
        <v>0.25</v>
      </c>
      <c r="E10" s="182" t="s">
        <v>522</v>
      </c>
    </row>
    <row r="11" spans="1:5" ht="15" customHeight="1" x14ac:dyDescent="0.2">
      <c r="A11" t="s">
        <v>652</v>
      </c>
      <c r="B11" s="184">
        <f>B9*(1-B10)</f>
        <v>3.39975E-2</v>
      </c>
      <c r="E11" s="182" t="s">
        <v>523</v>
      </c>
    </row>
    <row r="13" spans="1:5" ht="21.75" customHeight="1" x14ac:dyDescent="0.2">
      <c r="A13" s="286" t="s">
        <v>655</v>
      </c>
      <c r="B13" s="282"/>
      <c r="C13" s="282"/>
      <c r="D13" s="282"/>
      <c r="E13" s="282"/>
    </row>
    <row r="14" spans="1:5" ht="15" customHeight="1" x14ac:dyDescent="0.2">
      <c r="A14" s="180" t="s">
        <v>516</v>
      </c>
      <c r="B14" s="180" t="s">
        <v>517</v>
      </c>
      <c r="C14" s="180"/>
      <c r="D14" s="180"/>
      <c r="E14" s="180" t="s">
        <v>518</v>
      </c>
    </row>
    <row r="15" spans="1:5" ht="15" customHeight="1" x14ac:dyDescent="0.2">
      <c r="A15" t="s">
        <v>590</v>
      </c>
      <c r="B15" s="183">
        <f>B7</f>
        <v>3.0329999999999999E-2</v>
      </c>
      <c r="E15" s="182" t="s">
        <v>524</v>
      </c>
    </row>
    <row r="16" spans="1:5" ht="15" customHeight="1" x14ac:dyDescent="0.2">
      <c r="A16" t="s">
        <v>588</v>
      </c>
      <c r="B16" s="185">
        <v>1.59</v>
      </c>
      <c r="E16" s="182" t="s">
        <v>525</v>
      </c>
    </row>
    <row r="17" spans="1:5" ht="15" customHeight="1" x14ac:dyDescent="0.2">
      <c r="A17" t="s">
        <v>589</v>
      </c>
      <c r="B17" s="45">
        <v>5.0099999999999999E-2</v>
      </c>
      <c r="E17" t="s">
        <v>526</v>
      </c>
    </row>
    <row r="18" spans="1:5" ht="15" customHeight="1" x14ac:dyDescent="0.2">
      <c r="B18" s="186"/>
      <c r="E18" s="182" t="s">
        <v>527</v>
      </c>
    </row>
    <row r="19" spans="1:5" ht="15" customHeight="1" x14ac:dyDescent="0.2">
      <c r="B19" s="186"/>
      <c r="E19" s="182"/>
    </row>
    <row r="20" spans="1:5" ht="15" customHeight="1" x14ac:dyDescent="0.2">
      <c r="A20" t="s">
        <v>659</v>
      </c>
      <c r="B20" s="187">
        <f>B15+B16*B17</f>
        <v>0.109989</v>
      </c>
      <c r="E20" s="182" t="s">
        <v>528</v>
      </c>
    </row>
    <row r="21" spans="1:5" ht="21.75" customHeight="1" x14ac:dyDescent="0.2">
      <c r="A21" s="282"/>
      <c r="B21" s="282"/>
      <c r="C21" s="282"/>
      <c r="D21" s="282"/>
      <c r="E21" s="282"/>
    </row>
    <row r="22" spans="1:5" ht="15.75" customHeight="1" x14ac:dyDescent="0.2">
      <c r="A22" s="179" t="s">
        <v>656</v>
      </c>
    </row>
    <row r="23" spans="1:5" ht="15" customHeight="1" x14ac:dyDescent="0.2">
      <c r="A23" s="180" t="s">
        <v>516</v>
      </c>
      <c r="B23" s="180" t="s">
        <v>529</v>
      </c>
      <c r="C23" s="180" t="s">
        <v>530</v>
      </c>
      <c r="D23" s="180"/>
      <c r="E23" s="180" t="s">
        <v>518</v>
      </c>
    </row>
    <row r="24" spans="1:5" ht="15" customHeight="1" x14ac:dyDescent="0.2">
      <c r="A24" t="s">
        <v>660</v>
      </c>
      <c r="B24" s="188">
        <v>4306.0600000000004</v>
      </c>
      <c r="E24" s="182" t="s">
        <v>531</v>
      </c>
    </row>
    <row r="25" spans="1:5" ht="15" customHeight="1" x14ac:dyDescent="0.2">
      <c r="A25" t="s">
        <v>532</v>
      </c>
      <c r="B25" s="189">
        <v>0.60199999999999998</v>
      </c>
      <c r="C25" s="190">
        <f>B24/B28</f>
        <v>0.60199999999999998</v>
      </c>
      <c r="E25" s="182" t="s">
        <v>533</v>
      </c>
    </row>
    <row r="26" spans="1:5" ht="15" customHeight="1" x14ac:dyDescent="0.2">
      <c r="A26" t="s">
        <v>534</v>
      </c>
      <c r="B26" s="191">
        <f>1-B25</f>
        <v>0.39800000000000002</v>
      </c>
      <c r="C26" s="191">
        <f>B27/B28</f>
        <v>0.39799999999999996</v>
      </c>
      <c r="E26" s="182" t="s">
        <v>535</v>
      </c>
    </row>
    <row r="27" spans="1:5" ht="15" customHeight="1" x14ac:dyDescent="0.2">
      <c r="A27" t="s">
        <v>661</v>
      </c>
      <c r="B27" s="192">
        <f>B24*B26/B25</f>
        <v>2846.8635880398674</v>
      </c>
      <c r="E27" s="182" t="s">
        <v>536</v>
      </c>
    </row>
    <row r="28" spans="1:5" ht="15" customHeight="1" x14ac:dyDescent="0.2">
      <c r="A28" t="s">
        <v>537</v>
      </c>
      <c r="B28" s="192">
        <f>B24+B27</f>
        <v>7152.9235880398683</v>
      </c>
      <c r="E28" s="182" t="s">
        <v>538</v>
      </c>
    </row>
    <row r="29" spans="1:5" ht="15" customHeight="1" x14ac:dyDescent="0.2">
      <c r="A29" t="s">
        <v>539</v>
      </c>
      <c r="B29" s="191">
        <f>B25+B26</f>
        <v>1</v>
      </c>
      <c r="E29" s="182" t="s">
        <v>540</v>
      </c>
    </row>
    <row r="30" spans="1:5" ht="21.75" customHeight="1" x14ac:dyDescent="0.2">
      <c r="A30" s="282"/>
      <c r="B30" s="282"/>
      <c r="C30" s="282"/>
      <c r="D30" s="282"/>
      <c r="E30" s="282"/>
    </row>
    <row r="31" spans="1:5" ht="15.75" customHeight="1" x14ac:dyDescent="0.2">
      <c r="A31" s="331"/>
    </row>
    <row r="32" spans="1:5" ht="15" customHeight="1" x14ac:dyDescent="0.2">
      <c r="A32" s="180" t="s">
        <v>541</v>
      </c>
      <c r="B32" s="180" t="s">
        <v>517</v>
      </c>
      <c r="C32" s="180"/>
      <c r="D32" s="180"/>
      <c r="E32" s="180" t="s">
        <v>542</v>
      </c>
    </row>
    <row r="33" spans="1:5" ht="15" customHeight="1" x14ac:dyDescent="0.2">
      <c r="B33" s="193" t="s">
        <v>651</v>
      </c>
      <c r="E33" s="182" t="s">
        <v>525</v>
      </c>
    </row>
    <row r="34" spans="1:5" ht="21.75" customHeight="1" x14ac:dyDescent="0.2">
      <c r="A34" s="282"/>
      <c r="B34" s="282"/>
      <c r="C34" s="282"/>
      <c r="D34" s="282"/>
      <c r="E34" s="282"/>
    </row>
    <row r="35" spans="1:5" ht="15.75" customHeight="1" x14ac:dyDescent="0.2">
      <c r="A35" s="179" t="s">
        <v>657</v>
      </c>
    </row>
    <row r="36" spans="1:5" ht="15" customHeight="1" x14ac:dyDescent="0.2">
      <c r="A36" s="180" t="s">
        <v>543</v>
      </c>
      <c r="B36" s="180" t="s">
        <v>544</v>
      </c>
      <c r="C36" s="180" t="s">
        <v>545</v>
      </c>
      <c r="D36" s="180" t="s">
        <v>546</v>
      </c>
      <c r="E36" s="180" t="s">
        <v>547</v>
      </c>
    </row>
    <row r="37" spans="1:5" ht="15" customHeight="1" x14ac:dyDescent="0.2">
      <c r="A37" t="s">
        <v>662</v>
      </c>
      <c r="B37" s="183">
        <f>B20</f>
        <v>0.109989</v>
      </c>
      <c r="C37" s="191">
        <f>B25</f>
        <v>0.60199999999999998</v>
      </c>
      <c r="D37" s="183">
        <f>B37*C37</f>
        <v>6.6213378000000003E-2</v>
      </c>
      <c r="E37" s="182"/>
    </row>
    <row r="38" spans="1:5" ht="21.75" customHeight="1" x14ac:dyDescent="0.2">
      <c r="A38" t="s">
        <v>652</v>
      </c>
      <c r="B38" s="183">
        <f>B11</f>
        <v>3.39975E-2</v>
      </c>
      <c r="C38" s="191">
        <f>B26</f>
        <v>0.39800000000000002</v>
      </c>
      <c r="D38" s="183">
        <f>B38*C38</f>
        <v>1.3531005E-2</v>
      </c>
      <c r="E38" s="182"/>
    </row>
    <row r="39" spans="1:5" ht="18.75" customHeight="1" x14ac:dyDescent="0.25">
      <c r="A39" s="194" t="s">
        <v>663</v>
      </c>
      <c r="D39" s="195">
        <f>D37+D38</f>
        <v>7.9744383000000002E-2</v>
      </c>
      <c r="E39" s="182" t="s">
        <v>548</v>
      </c>
    </row>
    <row r="40" spans="1:5" ht="21.75" customHeight="1" x14ac:dyDescent="0.2">
      <c r="A40" s="282"/>
      <c r="B40" s="282"/>
      <c r="C40" s="282"/>
      <c r="D40" s="282"/>
      <c r="E40" s="282"/>
    </row>
    <row r="41" spans="1:5" ht="15" customHeight="1" x14ac:dyDescent="0.2">
      <c r="A41" s="282"/>
      <c r="B41" s="282"/>
      <c r="C41" s="282"/>
      <c r="D41" s="282"/>
      <c r="E41" s="282"/>
    </row>
    <row r="42" spans="1:5" ht="15" customHeight="1" x14ac:dyDescent="0.2">
      <c r="A42" s="196"/>
    </row>
    <row r="43" spans="1:5" ht="21.75" customHeight="1" x14ac:dyDescent="0.2">
      <c r="A43" s="282"/>
      <c r="B43" s="282"/>
      <c r="C43" s="282"/>
      <c r="D43" s="282"/>
      <c r="E43" s="282"/>
    </row>
    <row r="44" spans="1:5" ht="15" customHeight="1" x14ac:dyDescent="0.2">
      <c r="A44" s="182"/>
    </row>
    <row r="45" spans="1:5" ht="21.75" customHeight="1" x14ac:dyDescent="0.2">
      <c r="A45" s="282"/>
      <c r="B45" s="282"/>
      <c r="C45" s="282"/>
      <c r="D45" s="282"/>
      <c r="E45" s="282"/>
    </row>
  </sheetData>
  <mergeCells count="12">
    <mergeCell ref="A1:E1"/>
    <mergeCell ref="A45:E45"/>
    <mergeCell ref="A43:E43"/>
    <mergeCell ref="A2:E2"/>
    <mergeCell ref="A5:E5"/>
    <mergeCell ref="A13:E13"/>
    <mergeCell ref="A21:E21"/>
    <mergeCell ref="A4:E4"/>
    <mergeCell ref="A34:E34"/>
    <mergeCell ref="A41:E41"/>
    <mergeCell ref="A30:E30"/>
    <mergeCell ref="A40:E40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Balance Sheet</vt:lpstr>
      <vt:lpstr>Income Statement</vt:lpstr>
      <vt:lpstr>P&amp;L</vt:lpstr>
      <vt:lpstr>Cash Flow</vt:lpstr>
      <vt:lpstr>Miscellaneous </vt:lpstr>
      <vt:lpstr>Invested Capital</vt:lpstr>
      <vt:lpstr>Enterprise Value</vt:lpstr>
      <vt:lpstr>Projections</vt:lpstr>
      <vt:lpstr>WACC</vt:lpstr>
      <vt:lpstr>FCF_Projections central</vt:lpstr>
      <vt:lpstr>FCF_Projections pessimiste</vt:lpstr>
      <vt:lpstr>FCF _Projections optimistes </vt:lpstr>
      <vt:lpstr>relative valuation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Yanis Midoun</cp:lastModifiedBy>
  <cp:revision>0</cp:revision>
  <dcterms:created xsi:type="dcterms:W3CDTF">2026-04-14T15:13:27Z</dcterms:created>
  <dcterms:modified xsi:type="dcterms:W3CDTF">2026-05-27T15:04:08Z</dcterms:modified>
  <dc:language>en-US</dc:language>
</cp:coreProperties>
</file>