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akindejaegher/Desktop/"/>
    </mc:Choice>
  </mc:AlternateContent>
  <xr:revisionPtr revIDLastSave="0" documentId="13_ncr:1_{AEF21F1C-65CE-B544-AE4E-C942992C4912}" xr6:coauthVersionLast="47" xr6:coauthVersionMax="47" xr10:uidLastSave="{00000000-0000-0000-0000-000000000000}"/>
  <bookViews>
    <workbookView xWindow="0" yWindow="760" windowWidth="29400" windowHeight="17220" activeTab="9" xr2:uid="{00000000-000D-0000-FFFF-FFFF00000000}"/>
  </bookViews>
  <sheets>
    <sheet name="Hypothèses" sheetId="1" r:id="rId1"/>
    <sheet name="CA" sheetId="7" r:id="rId2"/>
    <sheet name="Coûts &amp; variables" sheetId="8" r:id="rId3"/>
    <sheet name="Résultat exploitation" sheetId="3" r:id="rId4"/>
    <sheet name="Trésorerie mensuelle" sheetId="9" r:id="rId5"/>
    <sheet name="Indices" sheetId="15" r:id="rId6"/>
    <sheet name="BILAN" sheetId="14" r:id="rId7"/>
    <sheet name="5ans" sheetId="12" r:id="rId8"/>
    <sheet name="Scénarios" sheetId="13" r:id="rId9"/>
    <sheet name="Seuil de rentabilité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2" i="3" l="1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D21" i="1"/>
  <c r="J73" i="7"/>
  <c r="B116" i="7" s="1"/>
  <c r="D116" i="7" s="1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72" i="7"/>
  <c r="O2" i="13"/>
  <c r="D69" i="14"/>
  <c r="D47" i="14"/>
  <c r="F72" i="14"/>
  <c r="F50" i="14"/>
  <c r="D72" i="14"/>
  <c r="D50" i="14"/>
  <c r="D26" i="14"/>
  <c r="F7" i="14"/>
  <c r="F26" i="14" s="1"/>
  <c r="F47" i="14" s="1"/>
  <c r="F69" i="14" s="1"/>
  <c r="G29" i="9"/>
  <c r="P29" i="9"/>
  <c r="C21" i="1"/>
  <c r="H91" i="11"/>
  <c r="B115" i="7"/>
  <c r="D115" i="7" s="1"/>
  <c r="B71" i="7"/>
  <c r="B14" i="7"/>
  <c r="F8" i="14"/>
  <c r="F5" i="14" s="1"/>
  <c r="F23" i="14" s="1"/>
  <c r="F44" i="14" s="1"/>
  <c r="D6" i="14"/>
  <c r="D24" i="14" s="1"/>
  <c r="D45" i="14" s="1"/>
  <c r="D67" i="14" s="1"/>
  <c r="D7" i="14"/>
  <c r="D25" i="14" s="1"/>
  <c r="D28" i="14" s="1"/>
  <c r="F27" i="14" l="1"/>
  <c r="F48" i="14" s="1"/>
  <c r="F70" i="14" s="1"/>
  <c r="F66" i="14"/>
  <c r="D46" i="14"/>
  <c r="D68" i="14" s="1"/>
  <c r="D71" i="14" s="1"/>
  <c r="D9" i="14"/>
  <c r="D49" i="14" l="1"/>
  <c r="F6" i="14"/>
  <c r="D10" i="14"/>
  <c r="D12" i="14" s="1"/>
  <c r="D13" i="14" s="1"/>
  <c r="O37" i="13"/>
  <c r="O36" i="13"/>
  <c r="O35" i="13"/>
  <c r="O34" i="13"/>
  <c r="O33" i="13"/>
  <c r="O32" i="13"/>
  <c r="O31" i="13"/>
  <c r="O30" i="13"/>
  <c r="O29" i="13"/>
  <c r="O28" i="13"/>
  <c r="O27" i="13"/>
  <c r="O26" i="13"/>
  <c r="O25" i="13"/>
  <c r="O24" i="13"/>
  <c r="O23" i="13"/>
  <c r="O22" i="13"/>
  <c r="O21" i="13"/>
  <c r="O20" i="13"/>
  <c r="O19" i="13"/>
  <c r="O18" i="13"/>
  <c r="O17" i="13"/>
  <c r="O16" i="13"/>
  <c r="O15" i="13"/>
  <c r="O14" i="13"/>
  <c r="O13" i="13"/>
  <c r="O12" i="13"/>
  <c r="O11" i="13"/>
  <c r="O10" i="13"/>
  <c r="O9" i="13"/>
  <c r="O8" i="13"/>
  <c r="O7" i="13"/>
  <c r="O6" i="13"/>
  <c r="O5" i="13"/>
  <c r="O4" i="13"/>
  <c r="O3" i="13"/>
  <c r="H126" i="11"/>
  <c r="H125" i="11"/>
  <c r="H124" i="11"/>
  <c r="H123" i="11"/>
  <c r="H122" i="11"/>
  <c r="H121" i="11"/>
  <c r="H120" i="11"/>
  <c r="H119" i="11"/>
  <c r="H118" i="11"/>
  <c r="H117" i="11"/>
  <c r="H116" i="11"/>
  <c r="H115" i="11"/>
  <c r="H114" i="11"/>
  <c r="H113" i="11"/>
  <c r="H112" i="11"/>
  <c r="H111" i="11"/>
  <c r="H110" i="11"/>
  <c r="H109" i="11"/>
  <c r="H108" i="11"/>
  <c r="H107" i="11"/>
  <c r="H106" i="11"/>
  <c r="H105" i="11"/>
  <c r="H104" i="11"/>
  <c r="H103" i="11"/>
  <c r="H102" i="11"/>
  <c r="H101" i="11"/>
  <c r="H100" i="11"/>
  <c r="H99" i="11"/>
  <c r="H98" i="11"/>
  <c r="H97" i="11"/>
  <c r="H96" i="11"/>
  <c r="H95" i="11"/>
  <c r="H94" i="11"/>
  <c r="H93" i="11"/>
  <c r="H92" i="11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H130" i="12"/>
  <c r="H131" i="12"/>
  <c r="H132" i="12"/>
  <c r="H133" i="12"/>
  <c r="H134" i="12"/>
  <c r="H135" i="12"/>
  <c r="H136" i="12"/>
  <c r="H137" i="12"/>
  <c r="H138" i="12"/>
  <c r="H139" i="12"/>
  <c r="H140" i="12"/>
  <c r="H117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H58" i="3"/>
  <c r="H59" i="3"/>
  <c r="H60" i="3"/>
  <c r="H61" i="3"/>
  <c r="H62" i="3"/>
  <c r="H63" i="3"/>
  <c r="H64" i="3"/>
  <c r="H65" i="3"/>
  <c r="H66" i="3"/>
  <c r="H67" i="3"/>
  <c r="H68" i="3"/>
  <c r="H57" i="3"/>
  <c r="H46" i="3"/>
  <c r="H47" i="3"/>
  <c r="H48" i="3"/>
  <c r="H49" i="3"/>
  <c r="H50" i="3"/>
  <c r="H51" i="3"/>
  <c r="H52" i="3"/>
  <c r="H53" i="3"/>
  <c r="H54" i="3"/>
  <c r="H55" i="3"/>
  <c r="H56" i="3"/>
  <c r="H45" i="3"/>
  <c r="H34" i="3"/>
  <c r="H35" i="3"/>
  <c r="H36" i="3"/>
  <c r="H37" i="3"/>
  <c r="H38" i="3"/>
  <c r="H39" i="3"/>
  <c r="H40" i="3"/>
  <c r="H41" i="3"/>
  <c r="H42" i="3"/>
  <c r="H43" i="3"/>
  <c r="H44" i="3"/>
  <c r="H33" i="3"/>
  <c r="G127" i="8"/>
  <c r="G128" i="8"/>
  <c r="G129" i="8"/>
  <c r="G134" i="8" s="1"/>
  <c r="G130" i="8"/>
  <c r="G131" i="8"/>
  <c r="G132" i="8"/>
  <c r="G133" i="8"/>
  <c r="G126" i="8"/>
  <c r="D134" i="8"/>
  <c r="C30" i="7"/>
  <c r="B30" i="7" s="1"/>
  <c r="C29" i="7"/>
  <c r="B29" i="7" s="1"/>
  <c r="C28" i="7"/>
  <c r="B28" i="7" s="1"/>
  <c r="C27" i="7"/>
  <c r="B27" i="7" s="1"/>
  <c r="C26" i="7"/>
  <c r="B26" i="7" s="1"/>
  <c r="C25" i="7"/>
  <c r="B25" i="7" s="1"/>
  <c r="C24" i="7"/>
  <c r="B24" i="7" s="1"/>
  <c r="C23" i="7"/>
  <c r="B23" i="7" s="1"/>
  <c r="C22" i="7"/>
  <c r="B22" i="7" s="1"/>
  <c r="C21" i="7"/>
  <c r="B21" i="7" s="1"/>
  <c r="C20" i="7"/>
  <c r="B20" i="7" s="1"/>
  <c r="C19" i="7"/>
  <c r="B19" i="7" s="1"/>
  <c r="C23" i="1"/>
  <c r="C22" i="1"/>
  <c r="D22" i="1" s="1"/>
  <c r="C20" i="1"/>
  <c r="C19" i="1"/>
  <c r="B139" i="8"/>
  <c r="E140" i="8" s="1"/>
  <c r="B56" i="12"/>
  <c r="L7" i="9"/>
  <c r="M7" i="9"/>
  <c r="N7" i="9"/>
  <c r="O7" i="9"/>
  <c r="P7" i="9"/>
  <c r="L8" i="9"/>
  <c r="M8" i="9"/>
  <c r="N8" i="9"/>
  <c r="O8" i="9"/>
  <c r="P8" i="9"/>
  <c r="L9" i="9"/>
  <c r="M9" i="9"/>
  <c r="N9" i="9"/>
  <c r="O9" i="9"/>
  <c r="P9" i="9"/>
  <c r="L10" i="9"/>
  <c r="M10" i="9"/>
  <c r="N10" i="9"/>
  <c r="O10" i="9"/>
  <c r="P10" i="9"/>
  <c r="L11" i="9"/>
  <c r="M11" i="9"/>
  <c r="N11" i="9"/>
  <c r="O11" i="9"/>
  <c r="P11" i="9"/>
  <c r="L12" i="9"/>
  <c r="M12" i="9"/>
  <c r="N12" i="9"/>
  <c r="O12" i="9"/>
  <c r="P12" i="9"/>
  <c r="L13" i="9"/>
  <c r="M13" i="9"/>
  <c r="N13" i="9"/>
  <c r="O13" i="9"/>
  <c r="P13" i="9"/>
  <c r="L14" i="9"/>
  <c r="M14" i="9"/>
  <c r="N14" i="9"/>
  <c r="O14" i="9"/>
  <c r="P14" i="9"/>
  <c r="L15" i="9"/>
  <c r="M15" i="9"/>
  <c r="N15" i="9"/>
  <c r="O15" i="9"/>
  <c r="P15" i="9"/>
  <c r="L16" i="9"/>
  <c r="M16" i="9"/>
  <c r="N16" i="9"/>
  <c r="O16" i="9"/>
  <c r="P16" i="9"/>
  <c r="L17" i="9"/>
  <c r="M17" i="9"/>
  <c r="N17" i="9"/>
  <c r="O17" i="9"/>
  <c r="P17" i="9"/>
  <c r="L18" i="9"/>
  <c r="M18" i="9"/>
  <c r="N18" i="9"/>
  <c r="O18" i="9"/>
  <c r="P18" i="9"/>
  <c r="P6" i="9"/>
  <c r="F127" i="8"/>
  <c r="F129" i="8"/>
  <c r="F132" i="8"/>
  <c r="F133" i="8"/>
  <c r="F126" i="8"/>
  <c r="E127" i="8"/>
  <c r="E129" i="8"/>
  <c r="E131" i="8"/>
  <c r="F131" i="8" s="1"/>
  <c r="E132" i="8"/>
  <c r="E133" i="8"/>
  <c r="E126" i="8"/>
  <c r="D133" i="8"/>
  <c r="D132" i="8"/>
  <c r="D131" i="8"/>
  <c r="D130" i="8"/>
  <c r="E130" i="8" s="1"/>
  <c r="D129" i="8"/>
  <c r="D128" i="8"/>
  <c r="E128" i="8" s="1"/>
  <c r="F128" i="8" s="1"/>
  <c r="D127" i="8"/>
  <c r="D126" i="8"/>
  <c r="B134" i="8"/>
  <c r="D82" i="8"/>
  <c r="D84" i="8"/>
  <c r="D85" i="8"/>
  <c r="D86" i="8"/>
  <c r="D87" i="8"/>
  <c r="D90" i="8"/>
  <c r="D91" i="8"/>
  <c r="D93" i="8"/>
  <c r="D94" i="8"/>
  <c r="D95" i="8"/>
  <c r="D97" i="8"/>
  <c r="D98" i="8"/>
  <c r="D99" i="8"/>
  <c r="D101" i="8"/>
  <c r="C82" i="8"/>
  <c r="C84" i="8"/>
  <c r="C85" i="8"/>
  <c r="C86" i="8"/>
  <c r="C87" i="8"/>
  <c r="C88" i="8"/>
  <c r="D88" i="8" s="1"/>
  <c r="C89" i="8"/>
  <c r="D89" i="8" s="1"/>
  <c r="C90" i="8"/>
  <c r="C91" i="8"/>
  <c r="C92" i="8"/>
  <c r="D92" i="8" s="1"/>
  <c r="C93" i="8"/>
  <c r="C94" i="8"/>
  <c r="C95" i="8"/>
  <c r="C96" i="8"/>
  <c r="D96" i="8" s="1"/>
  <c r="C97" i="8"/>
  <c r="C98" i="8"/>
  <c r="C99" i="8"/>
  <c r="C100" i="8"/>
  <c r="D100" i="8" s="1"/>
  <c r="C101" i="8"/>
  <c r="C81" i="8"/>
  <c r="D81" i="8" s="1"/>
  <c r="H134" i="8"/>
  <c r="I134" i="8"/>
  <c r="M29" i="9"/>
  <c r="M6" i="9" s="1"/>
  <c r="N29" i="9"/>
  <c r="N6" i="9" s="1"/>
  <c r="O29" i="9"/>
  <c r="O6" i="9" s="1"/>
  <c r="B53" i="1"/>
  <c r="C119" i="8"/>
  <c r="B119" i="8"/>
  <c r="D119" i="8"/>
  <c r="B39" i="8"/>
  <c r="F11" i="8"/>
  <c r="J11" i="8" s="1"/>
  <c r="B18" i="8" s="1"/>
  <c r="E11" i="8"/>
  <c r="I11" i="8" s="1"/>
  <c r="F10" i="8"/>
  <c r="J10" i="8" s="1"/>
  <c r="B16" i="8" s="1"/>
  <c r="E10" i="8"/>
  <c r="I10" i="8" s="1"/>
  <c r="B15" i="8" s="1"/>
  <c r="D15" i="8" s="1"/>
  <c r="F11" i="14" l="1"/>
  <c r="F16" i="14" s="1"/>
  <c r="D15" i="14"/>
  <c r="D16" i="14" s="1"/>
  <c r="K10" i="8"/>
  <c r="B67" i="12"/>
  <c r="C64" i="12"/>
  <c r="C63" i="12"/>
  <c r="C78" i="12"/>
  <c r="B59" i="12"/>
  <c r="B75" i="12"/>
  <c r="C77" i="12"/>
  <c r="C71" i="7"/>
  <c r="C73" i="12"/>
  <c r="C57" i="12"/>
  <c r="C65" i="12"/>
  <c r="B94" i="7"/>
  <c r="C76" i="12"/>
  <c r="C60" i="12"/>
  <c r="C56" i="12"/>
  <c r="B61" i="12"/>
  <c r="B77" i="12"/>
  <c r="C62" i="12"/>
  <c r="C75" i="12"/>
  <c r="B62" i="12"/>
  <c r="B78" i="12"/>
  <c r="C74" i="12"/>
  <c r="B63" i="12"/>
  <c r="C72" i="12"/>
  <c r="B70" i="12"/>
  <c r="C61" i="12"/>
  <c r="B79" i="12"/>
  <c r="B72" i="12"/>
  <c r="B106" i="7"/>
  <c r="C58" i="12"/>
  <c r="C71" i="12"/>
  <c r="B69" i="12"/>
  <c r="B71" i="12"/>
  <c r="C67" i="12"/>
  <c r="C68" i="12"/>
  <c r="C70" i="12"/>
  <c r="C59" i="12"/>
  <c r="B64" i="12"/>
  <c r="B58" i="12"/>
  <c r="B66" i="12"/>
  <c r="B74" i="12"/>
  <c r="C66" i="12"/>
  <c r="C79" i="12"/>
  <c r="C69" i="12"/>
  <c r="B57" i="12"/>
  <c r="B65" i="12"/>
  <c r="B73" i="12"/>
  <c r="B60" i="12"/>
  <c r="B68" i="12"/>
  <c r="B76" i="12"/>
  <c r="E134" i="8"/>
  <c r="F130" i="8"/>
  <c r="F134" i="8"/>
  <c r="H17" i="3" s="1"/>
  <c r="B145" i="7"/>
  <c r="D145" i="7" s="1"/>
  <c r="C144" i="7"/>
  <c r="E144" i="7" s="1"/>
  <c r="C142" i="7"/>
  <c r="E142" i="7" s="1"/>
  <c r="E152" i="8"/>
  <c r="E151" i="8"/>
  <c r="E150" i="8"/>
  <c r="E149" i="8"/>
  <c r="E219" i="8"/>
  <c r="E200" i="8"/>
  <c r="E182" i="8"/>
  <c r="E164" i="8"/>
  <c r="E142" i="8"/>
  <c r="E181" i="8"/>
  <c r="E141" i="8"/>
  <c r="E147" i="8"/>
  <c r="E211" i="8"/>
  <c r="E194" i="8"/>
  <c r="E178" i="8"/>
  <c r="E157" i="8"/>
  <c r="C139" i="8"/>
  <c r="J33" i="3" s="1"/>
  <c r="E139" i="8"/>
  <c r="F24" i="14" s="1"/>
  <c r="F45" i="14" s="1"/>
  <c r="F67" i="14" s="1"/>
  <c r="E210" i="8"/>
  <c r="E192" i="8"/>
  <c r="E172" i="8"/>
  <c r="E222" i="8"/>
  <c r="E208" i="8"/>
  <c r="E191" i="8"/>
  <c r="E170" i="8"/>
  <c r="E221" i="8"/>
  <c r="E205" i="8"/>
  <c r="E184" i="8"/>
  <c r="E168" i="8"/>
  <c r="E220" i="8"/>
  <c r="E204" i="8"/>
  <c r="E183" i="8"/>
  <c r="E167" i="8"/>
  <c r="E218" i="8"/>
  <c r="E199" i="8"/>
  <c r="E162" i="8"/>
  <c r="E212" i="8"/>
  <c r="E196" i="8"/>
  <c r="E180" i="8"/>
  <c r="E158" i="8"/>
  <c r="B146" i="7"/>
  <c r="D146" i="7" s="1"/>
  <c r="C139" i="7"/>
  <c r="E139" i="7" s="1"/>
  <c r="C126" i="7"/>
  <c r="E126" i="7" s="1"/>
  <c r="B135" i="7"/>
  <c r="D135" i="7" s="1"/>
  <c r="C136" i="7"/>
  <c r="E136" i="7" s="1"/>
  <c r="B123" i="7"/>
  <c r="D123" i="7" s="1"/>
  <c r="B120" i="7"/>
  <c r="D120" i="7" s="1"/>
  <c r="B133" i="7"/>
  <c r="D133" i="7" s="1"/>
  <c r="C148" i="7"/>
  <c r="E148" i="7" s="1"/>
  <c r="C137" i="7"/>
  <c r="E137" i="7" s="1"/>
  <c r="B129" i="7"/>
  <c r="D129" i="7" s="1"/>
  <c r="C145" i="7"/>
  <c r="E145" i="7" s="1"/>
  <c r="B142" i="7"/>
  <c r="D142" i="7" s="1"/>
  <c r="C133" i="7"/>
  <c r="E133" i="7" s="1"/>
  <c r="C143" i="7"/>
  <c r="E143" i="7" s="1"/>
  <c r="B141" i="7"/>
  <c r="D141" i="7" s="1"/>
  <c r="C141" i="7"/>
  <c r="E141" i="7" s="1"/>
  <c r="B95" i="7"/>
  <c r="C115" i="7"/>
  <c r="E115" i="7" s="1"/>
  <c r="C129" i="7"/>
  <c r="E129" i="7" s="1"/>
  <c r="C140" i="7"/>
  <c r="E140" i="7" s="1"/>
  <c r="B126" i="7"/>
  <c r="D126" i="7" s="1"/>
  <c r="B137" i="7"/>
  <c r="D137" i="7" s="1"/>
  <c r="B150" i="7"/>
  <c r="D150" i="7" s="1"/>
  <c r="C83" i="7"/>
  <c r="C118" i="7"/>
  <c r="E118" i="7" s="1"/>
  <c r="C128" i="7"/>
  <c r="E128" i="7" s="1"/>
  <c r="B119" i="7"/>
  <c r="D119" i="7" s="1"/>
  <c r="B132" i="7"/>
  <c r="D132" i="7" s="1"/>
  <c r="B144" i="7"/>
  <c r="D144" i="7" s="1"/>
  <c r="C123" i="7"/>
  <c r="E123" i="7" s="1"/>
  <c r="C134" i="7"/>
  <c r="E134" i="7" s="1"/>
  <c r="B118" i="7"/>
  <c r="D118" i="7" s="1"/>
  <c r="C122" i="7"/>
  <c r="E122" i="7" s="1"/>
  <c r="B128" i="7"/>
  <c r="D128" i="7" s="1"/>
  <c r="C121" i="7"/>
  <c r="E121" i="7" s="1"/>
  <c r="C130" i="7"/>
  <c r="E130" i="7" s="1"/>
  <c r="B83" i="7"/>
  <c r="C119" i="7"/>
  <c r="E119" i="7" s="1"/>
  <c r="B124" i="7"/>
  <c r="D124" i="7" s="1"/>
  <c r="B136" i="7"/>
  <c r="D136" i="7" s="1"/>
  <c r="B149" i="7"/>
  <c r="D149" i="7" s="1"/>
  <c r="C127" i="7"/>
  <c r="E127" i="7" s="1"/>
  <c r="C138" i="7"/>
  <c r="E138" i="7" s="1"/>
  <c r="C149" i="7"/>
  <c r="E149" i="7" s="1"/>
  <c r="B15" i="7"/>
  <c r="B122" i="7"/>
  <c r="D122" i="7" s="1"/>
  <c r="B127" i="7"/>
  <c r="D127" i="7" s="1"/>
  <c r="B131" i="7"/>
  <c r="D131" i="7" s="1"/>
  <c r="B148" i="7"/>
  <c r="D148" i="7" s="1"/>
  <c r="B140" i="7"/>
  <c r="D140" i="7" s="1"/>
  <c r="C125" i="7"/>
  <c r="E125" i="7" s="1"/>
  <c r="C117" i="7"/>
  <c r="E117" i="7" s="1"/>
  <c r="C132" i="7"/>
  <c r="E132" i="7" s="1"/>
  <c r="C147" i="7"/>
  <c r="E147" i="7" s="1"/>
  <c r="B121" i="7"/>
  <c r="D121" i="7" s="1"/>
  <c r="B138" i="7"/>
  <c r="D138" i="7" s="1"/>
  <c r="B130" i="7"/>
  <c r="D130" i="7" s="1"/>
  <c r="B147" i="7"/>
  <c r="D147" i="7" s="1"/>
  <c r="C124" i="7"/>
  <c r="E124" i="7" s="1"/>
  <c r="C116" i="7"/>
  <c r="E116" i="7" s="1"/>
  <c r="C131" i="7"/>
  <c r="E131" i="7" s="1"/>
  <c r="C146" i="7"/>
  <c r="E146" i="7" s="1"/>
  <c r="B125" i="7"/>
  <c r="D125" i="7" s="1"/>
  <c r="B117" i="7"/>
  <c r="D117" i="7" s="1"/>
  <c r="B134" i="7"/>
  <c r="D134" i="7" s="1"/>
  <c r="B139" i="7"/>
  <c r="D139" i="7" s="1"/>
  <c r="B143" i="7"/>
  <c r="D143" i="7" s="1"/>
  <c r="C95" i="7"/>
  <c r="C120" i="7"/>
  <c r="E120" i="7" s="1"/>
  <c r="C135" i="7"/>
  <c r="E135" i="7" s="1"/>
  <c r="C150" i="7"/>
  <c r="E150" i="7" s="1"/>
  <c r="H21" i="3"/>
  <c r="H22" i="3"/>
  <c r="H16" i="3"/>
  <c r="B17" i="8"/>
  <c r="D17" i="8" s="1"/>
  <c r="K11" i="8"/>
  <c r="B7" i="7"/>
  <c r="D71" i="7" s="1"/>
  <c r="L10" i="8"/>
  <c r="E214" i="8"/>
  <c r="E203" i="8"/>
  <c r="E190" i="8"/>
  <c r="E174" i="8"/>
  <c r="E160" i="8"/>
  <c r="E148" i="8"/>
  <c r="E213" i="8"/>
  <c r="E202" i="8"/>
  <c r="E189" i="8"/>
  <c r="E173" i="8"/>
  <c r="E159" i="8"/>
  <c r="E146" i="8"/>
  <c r="E216" i="8"/>
  <c r="E207" i="8"/>
  <c r="E198" i="8"/>
  <c r="E188" i="8"/>
  <c r="E176" i="8"/>
  <c r="E166" i="8"/>
  <c r="E156" i="8"/>
  <c r="E144" i="8"/>
  <c r="E215" i="8"/>
  <c r="E206" i="8"/>
  <c r="E197" i="8"/>
  <c r="E186" i="8"/>
  <c r="E175" i="8"/>
  <c r="E165" i="8"/>
  <c r="E154" i="8"/>
  <c r="E143" i="8"/>
  <c r="E217" i="8"/>
  <c r="E209" i="8"/>
  <c r="E201" i="8"/>
  <c r="E193" i="8"/>
  <c r="E185" i="8"/>
  <c r="E177" i="8"/>
  <c r="E169" i="8"/>
  <c r="E161" i="8"/>
  <c r="E153" i="8"/>
  <c r="E145" i="8"/>
  <c r="L29" i="9"/>
  <c r="Q29" i="9" s="1"/>
  <c r="E195" i="8"/>
  <c r="E187" i="8"/>
  <c r="E179" i="8"/>
  <c r="E171" i="8"/>
  <c r="E163" i="8"/>
  <c r="E155" i="8"/>
  <c r="C96" i="7"/>
  <c r="C87" i="7"/>
  <c r="C103" i="7"/>
  <c r="C79" i="7"/>
  <c r="B99" i="7"/>
  <c r="B91" i="7"/>
  <c r="B75" i="7"/>
  <c r="B98" i="7"/>
  <c r="B82" i="7"/>
  <c r="B74" i="7"/>
  <c r="C78" i="7"/>
  <c r="C94" i="7"/>
  <c r="C102" i="7"/>
  <c r="B105" i="7"/>
  <c r="B97" i="7"/>
  <c r="B89" i="7"/>
  <c r="B73" i="7"/>
  <c r="C93" i="7"/>
  <c r="C85" i="7"/>
  <c r="C101" i="7"/>
  <c r="B72" i="7"/>
  <c r="C75" i="7"/>
  <c r="B102" i="7"/>
  <c r="B86" i="7"/>
  <c r="B78" i="7"/>
  <c r="C82" i="7"/>
  <c r="C74" i="7"/>
  <c r="C90" i="7"/>
  <c r="C106" i="7"/>
  <c r="C98" i="7"/>
  <c r="B90" i="7"/>
  <c r="C86" i="7"/>
  <c r="C77" i="7"/>
  <c r="B96" i="7"/>
  <c r="C92" i="7"/>
  <c r="B103" i="7"/>
  <c r="B79" i="7"/>
  <c r="B101" i="7"/>
  <c r="B93" i="7"/>
  <c r="B85" i="7"/>
  <c r="B77" i="7"/>
  <c r="C81" i="7"/>
  <c r="C73" i="7"/>
  <c r="C89" i="7"/>
  <c r="C105" i="7"/>
  <c r="C97" i="7"/>
  <c r="B81" i="7"/>
  <c r="B104" i="7"/>
  <c r="B88" i="7"/>
  <c r="B80" i="7"/>
  <c r="C76" i="7"/>
  <c r="C84" i="7"/>
  <c r="C100" i="7"/>
  <c r="B87" i="7"/>
  <c r="C91" i="7"/>
  <c r="C99" i="7"/>
  <c r="B100" i="7"/>
  <c r="B92" i="7"/>
  <c r="B84" i="7"/>
  <c r="B76" i="7"/>
  <c r="C80" i="7"/>
  <c r="C72" i="7"/>
  <c r="C88" i="7"/>
  <c r="C104" i="7"/>
  <c r="D18" i="8"/>
  <c r="D16" i="8"/>
  <c r="C22" i="8" s="1"/>
  <c r="B22" i="8" s="1"/>
  <c r="F25" i="14" l="1"/>
  <c r="F68" i="14"/>
  <c r="F46" i="14"/>
  <c r="C60" i="7"/>
  <c r="I69" i="8" a="1"/>
  <c r="I69" i="8" s="1"/>
  <c r="C53" i="7"/>
  <c r="I45" i="8" a="1"/>
  <c r="I45" i="8" s="1"/>
  <c r="B45" i="8" s="1"/>
  <c r="D60" i="7"/>
  <c r="I57" i="8" a="1"/>
  <c r="I57" i="8" s="1"/>
  <c r="L6" i="9"/>
  <c r="Q6" i="9" s="1"/>
  <c r="R6" i="9" s="1"/>
  <c r="R29" i="9"/>
  <c r="J30" i="9"/>
  <c r="D139" i="8"/>
  <c r="K30" i="9" s="1"/>
  <c r="F146" i="7"/>
  <c r="D78" i="7"/>
  <c r="C55" i="7"/>
  <c r="F148" i="7"/>
  <c r="F141" i="7"/>
  <c r="F144" i="7"/>
  <c r="F142" i="7"/>
  <c r="F122" i="7"/>
  <c r="F145" i="7"/>
  <c r="B87" i="12" a="1"/>
  <c r="H15" i="3"/>
  <c r="H18" i="3"/>
  <c r="H23" i="3"/>
  <c r="H26" i="3"/>
  <c r="H20" i="3"/>
  <c r="H19" i="3"/>
  <c r="H24" i="3"/>
  <c r="H25" i="3"/>
  <c r="F132" i="7"/>
  <c r="F139" i="7"/>
  <c r="F134" i="7"/>
  <c r="F119" i="7"/>
  <c r="F129" i="7"/>
  <c r="D79" i="7"/>
  <c r="D75" i="7"/>
  <c r="D76" i="7"/>
  <c r="D72" i="7"/>
  <c r="F126" i="7"/>
  <c r="F117" i="7"/>
  <c r="D32" i="9" s="1"/>
  <c r="F149" i="7"/>
  <c r="F133" i="7"/>
  <c r="F137" i="7"/>
  <c r="F118" i="7"/>
  <c r="F135" i="7"/>
  <c r="F120" i="7"/>
  <c r="F127" i="7"/>
  <c r="C61" i="7"/>
  <c r="F116" i="7"/>
  <c r="F128" i="7"/>
  <c r="D58" i="7"/>
  <c r="F124" i="7"/>
  <c r="F123" i="7"/>
  <c r="F150" i="7"/>
  <c r="F136" i="7"/>
  <c r="C57" i="7"/>
  <c r="C54" i="7"/>
  <c r="F143" i="7"/>
  <c r="F121" i="7"/>
  <c r="F131" i="7"/>
  <c r="D63" i="7"/>
  <c r="D57" i="7"/>
  <c r="F147" i="7"/>
  <c r="F130" i="7"/>
  <c r="F140" i="7"/>
  <c r="D64" i="7"/>
  <c r="C64" i="7"/>
  <c r="D61" i="7"/>
  <c r="F138" i="7"/>
  <c r="F115" i="7"/>
  <c r="D54" i="7"/>
  <c r="D80" i="7"/>
  <c r="C56" i="7"/>
  <c r="C59" i="7"/>
  <c r="C62" i="7"/>
  <c r="C63" i="7"/>
  <c r="D62" i="7"/>
  <c r="D55" i="7"/>
  <c r="C58" i="7"/>
  <c r="D56" i="7"/>
  <c r="F125" i="7"/>
  <c r="D77" i="7"/>
  <c r="D59" i="7"/>
  <c r="D53" i="7"/>
  <c r="B33" i="8"/>
  <c r="B35" i="8" s="1"/>
  <c r="B37" i="8" s="1"/>
  <c r="B9" i="7"/>
  <c r="D86" i="7" s="1"/>
  <c r="C23" i="8"/>
  <c r="B23" i="8" s="1"/>
  <c r="J45" i="8" s="1" a="1"/>
  <c r="J45" i="8" s="1"/>
  <c r="L11" i="8"/>
  <c r="B8" i="7"/>
  <c r="E72" i="7" s="1"/>
  <c r="C27" i="8"/>
  <c r="B27" i="8"/>
  <c r="D81" i="7"/>
  <c r="D73" i="7"/>
  <c r="D82" i="7"/>
  <c r="D74" i="7"/>
  <c r="J57" i="8" l="1" a="1"/>
  <c r="J57" i="8" s="1"/>
  <c r="J69" i="8" a="1"/>
  <c r="J69" i="8" s="1"/>
  <c r="E62" i="3"/>
  <c r="E38" i="11" s="1"/>
  <c r="D59" i="9"/>
  <c r="E65" i="3"/>
  <c r="E41" i="11" s="1"/>
  <c r="D62" i="9"/>
  <c r="E54" i="3"/>
  <c r="E30" i="11" s="1"/>
  <c r="D51" i="9"/>
  <c r="D42" i="9"/>
  <c r="E45" i="3"/>
  <c r="E21" i="11" s="1"/>
  <c r="E44" i="3"/>
  <c r="E20" i="11" s="1"/>
  <c r="D41" i="9"/>
  <c r="E57" i="3"/>
  <c r="E33" i="11" s="1"/>
  <c r="D54" i="9"/>
  <c r="E59" i="3"/>
  <c r="E35" i="11" s="1"/>
  <c r="D56" i="9"/>
  <c r="E36" i="3"/>
  <c r="E12" i="11" s="1"/>
  <c r="D33" i="9"/>
  <c r="E39" i="3"/>
  <c r="E15" i="11" s="1"/>
  <c r="D36" i="9"/>
  <c r="E64" i="3"/>
  <c r="E40" i="11" s="1"/>
  <c r="D61" i="9"/>
  <c r="E48" i="3"/>
  <c r="E24" i="11" s="1"/>
  <c r="D45" i="9"/>
  <c r="E52" i="3"/>
  <c r="E28" i="11" s="1"/>
  <c r="D49" i="9"/>
  <c r="D30" i="9"/>
  <c r="E33" i="3"/>
  <c r="E9" i="11" s="1"/>
  <c r="E68" i="3"/>
  <c r="E134" i="12" s="1"/>
  <c r="D65" i="9"/>
  <c r="E38" i="3"/>
  <c r="E14" i="11" s="1"/>
  <c r="D35" i="9"/>
  <c r="E50" i="3"/>
  <c r="E26" i="11" s="1"/>
  <c r="D47" i="9"/>
  <c r="E66" i="3"/>
  <c r="E42" i="11" s="1"/>
  <c r="D63" i="9"/>
  <c r="E56" i="3"/>
  <c r="E32" i="11" s="1"/>
  <c r="D53" i="9"/>
  <c r="E55" i="3"/>
  <c r="E31" i="11" s="1"/>
  <c r="D52" i="9"/>
  <c r="E63" i="3"/>
  <c r="E39" i="11" s="1"/>
  <c r="D60" i="9"/>
  <c r="E61" i="3"/>
  <c r="E37" i="11" s="1"/>
  <c r="D58" i="9"/>
  <c r="E46" i="3"/>
  <c r="E22" i="11" s="1"/>
  <c r="D43" i="9"/>
  <c r="E51" i="3"/>
  <c r="E27" i="11" s="1"/>
  <c r="D48" i="9"/>
  <c r="E47" i="3"/>
  <c r="E23" i="11" s="1"/>
  <c r="D44" i="9"/>
  <c r="E40" i="3"/>
  <c r="E16" i="11" s="1"/>
  <c r="D37" i="9"/>
  <c r="E41" i="3"/>
  <c r="E17" i="11" s="1"/>
  <c r="D38" i="9"/>
  <c r="E53" i="3"/>
  <c r="E29" i="11" s="1"/>
  <c r="D50" i="9"/>
  <c r="E49" i="3"/>
  <c r="E25" i="11" s="1"/>
  <c r="D46" i="9"/>
  <c r="E42" i="3"/>
  <c r="E18" i="11" s="1"/>
  <c r="D39" i="9"/>
  <c r="E43" i="3"/>
  <c r="E19" i="11" s="1"/>
  <c r="D40" i="9"/>
  <c r="E58" i="3"/>
  <c r="E34" i="11" s="1"/>
  <c r="D55" i="9"/>
  <c r="E34" i="3"/>
  <c r="E10" i="11" s="1"/>
  <c r="D31" i="9"/>
  <c r="E67" i="3"/>
  <c r="E43" i="11" s="1"/>
  <c r="D64" i="9"/>
  <c r="E37" i="3"/>
  <c r="E13" i="11" s="1"/>
  <c r="D34" i="9"/>
  <c r="E60" i="3"/>
  <c r="E36" i="11" s="1"/>
  <c r="D57" i="9"/>
  <c r="F139" i="8"/>
  <c r="B140" i="8" s="1"/>
  <c r="C140" i="8" s="1"/>
  <c r="J31" i="9" s="1"/>
  <c r="B28" i="8"/>
  <c r="C54" i="8"/>
  <c r="C52" i="8"/>
  <c r="C87" i="12" a="1"/>
  <c r="C87" i="12" s="1"/>
  <c r="B160" i="7"/>
  <c r="J75" i="9" s="1"/>
  <c r="B161" i="7"/>
  <c r="J76" i="9" s="1"/>
  <c r="E55" i="7"/>
  <c r="B87" i="12"/>
  <c r="F72" i="7"/>
  <c r="B34" i="3" s="1"/>
  <c r="B76" i="3" s="1"/>
  <c r="E35" i="3"/>
  <c r="E11" i="11" s="1"/>
  <c r="E81" i="7"/>
  <c r="F81" i="7" s="1"/>
  <c r="B43" i="3" s="1"/>
  <c r="B85" i="3" s="1"/>
  <c r="E79" i="7"/>
  <c r="F79" i="7" s="1"/>
  <c r="B38" i="9" s="1"/>
  <c r="E78" i="7"/>
  <c r="F78" i="7" s="1"/>
  <c r="B40" i="3" s="1"/>
  <c r="B82" i="3" s="1"/>
  <c r="D88" i="7"/>
  <c r="E77" i="7"/>
  <c r="F77" i="7" s="1"/>
  <c r="B39" i="3" s="1"/>
  <c r="B81" i="3" s="1"/>
  <c r="E82" i="7"/>
  <c r="F82" i="7" s="1"/>
  <c r="B41" i="9" s="1"/>
  <c r="E74" i="7"/>
  <c r="F74" i="7" s="1"/>
  <c r="B33" i="9" s="1"/>
  <c r="E76" i="7"/>
  <c r="F76" i="7" s="1"/>
  <c r="C14" i="11" s="1"/>
  <c r="E80" i="7"/>
  <c r="F80" i="7" s="1"/>
  <c r="B39" i="9" s="1"/>
  <c r="E75" i="7"/>
  <c r="F75" i="7" s="1"/>
  <c r="B34" i="9" s="1"/>
  <c r="E53" i="7"/>
  <c r="B47" i="8"/>
  <c r="B46" i="8"/>
  <c r="B48" i="8"/>
  <c r="B49" i="8"/>
  <c r="B51" i="8"/>
  <c r="B50" i="8"/>
  <c r="B52" i="8"/>
  <c r="C53" i="8"/>
  <c r="C55" i="8"/>
  <c r="C56" i="8"/>
  <c r="E54" i="7"/>
  <c r="E56" i="7"/>
  <c r="C45" i="8"/>
  <c r="C46" i="8"/>
  <c r="C47" i="8"/>
  <c r="C48" i="8"/>
  <c r="B53" i="8"/>
  <c r="B55" i="8"/>
  <c r="B54" i="8"/>
  <c r="B56" i="8"/>
  <c r="D93" i="7"/>
  <c r="C28" i="8"/>
  <c r="D87" i="7"/>
  <c r="B11" i="7"/>
  <c r="B48" i="12" s="1"/>
  <c r="D91" i="7"/>
  <c r="D84" i="7"/>
  <c r="D83" i="7"/>
  <c r="D94" i="7"/>
  <c r="D92" i="7"/>
  <c r="D85" i="7"/>
  <c r="D90" i="7"/>
  <c r="B10" i="7"/>
  <c r="B34" i="8"/>
  <c r="B36" i="8" s="1"/>
  <c r="B38" i="8" s="1"/>
  <c r="E71" i="7"/>
  <c r="D89" i="7"/>
  <c r="E73" i="7"/>
  <c r="F73" i="7" s="1"/>
  <c r="J34" i="3"/>
  <c r="K74" i="8"/>
  <c r="C59" i="9" s="1"/>
  <c r="K53" i="8"/>
  <c r="K54" i="8"/>
  <c r="C39" i="9" s="1"/>
  <c r="K55" i="8"/>
  <c r="K78" i="8"/>
  <c r="K71" i="8"/>
  <c r="K49" i="8"/>
  <c r="K51" i="8"/>
  <c r="C36" i="9" s="1"/>
  <c r="K47" i="8"/>
  <c r="K50" i="8"/>
  <c r="K73" i="8"/>
  <c r="K79" i="8"/>
  <c r="K80" i="8"/>
  <c r="K46" i="8"/>
  <c r="K70" i="8"/>
  <c r="K75" i="8"/>
  <c r="K76" i="8"/>
  <c r="K72" i="8"/>
  <c r="K77" i="8"/>
  <c r="K48" i="8"/>
  <c r="K56" i="8"/>
  <c r="K52" i="8"/>
  <c r="E44" i="11" l="1"/>
  <c r="D110" i="12"/>
  <c r="C140" i="12" s="1"/>
  <c r="C174" i="12" s="1"/>
  <c r="E128" i="12"/>
  <c r="E117" i="12"/>
  <c r="E137" i="12"/>
  <c r="E130" i="12"/>
  <c r="E140" i="12"/>
  <c r="E118" i="12"/>
  <c r="E136" i="12"/>
  <c r="E122" i="12"/>
  <c r="E120" i="12"/>
  <c r="E135" i="12"/>
  <c r="E132" i="12"/>
  <c r="E124" i="12"/>
  <c r="E131" i="12"/>
  <c r="E125" i="12"/>
  <c r="E127" i="12"/>
  <c r="E133" i="12"/>
  <c r="E138" i="12"/>
  <c r="E126" i="12"/>
  <c r="E129" i="12"/>
  <c r="E139" i="12"/>
  <c r="E119" i="12"/>
  <c r="E121" i="12"/>
  <c r="E123" i="12"/>
  <c r="D140" i="8"/>
  <c r="C51" i="8"/>
  <c r="D51" i="8" s="1"/>
  <c r="C50" i="8"/>
  <c r="D50" i="8" s="1"/>
  <c r="K68" i="8"/>
  <c r="C56" i="3" s="1"/>
  <c r="K63" i="8"/>
  <c r="C48" i="9" s="1"/>
  <c r="K65" i="8"/>
  <c r="D29" i="11" s="1"/>
  <c r="F29" i="11" s="1"/>
  <c r="K58" i="8"/>
  <c r="D22" i="11" s="1"/>
  <c r="F22" i="11" s="1"/>
  <c r="K64" i="8"/>
  <c r="D28" i="11" s="1"/>
  <c r="F28" i="11" s="1"/>
  <c r="K60" i="8"/>
  <c r="C45" i="9" s="1"/>
  <c r="K66" i="8"/>
  <c r="D30" i="11" s="1"/>
  <c r="F30" i="11" s="1"/>
  <c r="K61" i="8"/>
  <c r="C46" i="9" s="1"/>
  <c r="K62" i="8"/>
  <c r="C47" i="9" s="1"/>
  <c r="K67" i="8"/>
  <c r="C55" i="3" s="1"/>
  <c r="C49" i="8"/>
  <c r="D49" i="8" s="1"/>
  <c r="C19" i="3" s="1"/>
  <c r="D108" i="12"/>
  <c r="C138" i="12" s="1"/>
  <c r="C172" i="12" s="1"/>
  <c r="D98" i="12"/>
  <c r="C128" i="12" s="1"/>
  <c r="C162" i="12" s="1"/>
  <c r="D103" i="12"/>
  <c r="C133" i="12" s="1"/>
  <c r="C167" i="12" s="1"/>
  <c r="D102" i="12"/>
  <c r="C132" i="12" s="1"/>
  <c r="C166" i="12" s="1"/>
  <c r="D96" i="12"/>
  <c r="C126" i="12" s="1"/>
  <c r="C160" i="12" s="1"/>
  <c r="D94" i="12"/>
  <c r="C124" i="12" s="1"/>
  <c r="C158" i="12" s="1"/>
  <c r="D95" i="12"/>
  <c r="C125" i="12" s="1"/>
  <c r="C159" i="12" s="1"/>
  <c r="D90" i="12"/>
  <c r="C120" i="12" s="1"/>
  <c r="C154" i="12" s="1"/>
  <c r="D88" i="12"/>
  <c r="C118" i="12" s="1"/>
  <c r="C152" i="12" s="1"/>
  <c r="D101" i="12"/>
  <c r="C131" i="12" s="1"/>
  <c r="C165" i="12" s="1"/>
  <c r="D99" i="12"/>
  <c r="C129" i="12" s="1"/>
  <c r="C163" i="12" s="1"/>
  <c r="D91" i="12"/>
  <c r="C121" i="12" s="1"/>
  <c r="C155" i="12" s="1"/>
  <c r="D106" i="12"/>
  <c r="C136" i="12" s="1"/>
  <c r="C170" i="12" s="1"/>
  <c r="D109" i="12"/>
  <c r="C139" i="12" s="1"/>
  <c r="C173" i="12" s="1"/>
  <c r="D100" i="12"/>
  <c r="C130" i="12" s="1"/>
  <c r="C164" i="12" s="1"/>
  <c r="D105" i="12"/>
  <c r="C135" i="12" s="1"/>
  <c r="C169" i="12" s="1"/>
  <c r="D93" i="12"/>
  <c r="C123" i="12" s="1"/>
  <c r="C157" i="12" s="1"/>
  <c r="D92" i="12"/>
  <c r="C122" i="12" s="1"/>
  <c r="C156" i="12" s="1"/>
  <c r="D97" i="12"/>
  <c r="C127" i="12" s="1"/>
  <c r="C161" i="12" s="1"/>
  <c r="D87" i="12"/>
  <c r="C117" i="12" s="1"/>
  <c r="C151" i="12" s="1"/>
  <c r="B37" i="9"/>
  <c r="K59" i="8"/>
  <c r="D23" i="11" s="1"/>
  <c r="F23" i="11" s="1"/>
  <c r="D104" i="12"/>
  <c r="C134" i="12" s="1"/>
  <c r="C168" i="12" s="1"/>
  <c r="D107" i="12"/>
  <c r="C137" i="12" s="1"/>
  <c r="C171" i="12" s="1"/>
  <c r="D89" i="12"/>
  <c r="C119" i="12" s="1"/>
  <c r="C153" i="12" s="1"/>
  <c r="C16" i="11"/>
  <c r="C10" i="11"/>
  <c r="B31" i="9"/>
  <c r="B41" i="3"/>
  <c r="B83" i="3" s="1"/>
  <c r="C17" i="11"/>
  <c r="B50" i="12"/>
  <c r="D56" i="12"/>
  <c r="D67" i="12"/>
  <c r="D59" i="12"/>
  <c r="D66" i="12"/>
  <c r="D62" i="12"/>
  <c r="D65" i="12"/>
  <c r="D64" i="12"/>
  <c r="D57" i="12"/>
  <c r="D63" i="12"/>
  <c r="D58" i="12"/>
  <c r="D61" i="12"/>
  <c r="D60" i="12"/>
  <c r="F55" i="7"/>
  <c r="G55" i="7" s="1"/>
  <c r="E17" i="3" s="1"/>
  <c r="N46" i="8"/>
  <c r="G10" i="11" s="1"/>
  <c r="E58" i="7"/>
  <c r="C19" i="11"/>
  <c r="B40" i="9"/>
  <c r="B38" i="3"/>
  <c r="B80" i="3" s="1"/>
  <c r="B35" i="9"/>
  <c r="B37" i="3"/>
  <c r="B79" i="3" s="1"/>
  <c r="F56" i="7"/>
  <c r="G56" i="7" s="1"/>
  <c r="B18" i="3" s="1"/>
  <c r="C13" i="11"/>
  <c r="F54" i="7"/>
  <c r="G54" i="7" s="1"/>
  <c r="C20" i="11"/>
  <c r="B44" i="3"/>
  <c r="B86" i="3" s="1"/>
  <c r="B42" i="3"/>
  <c r="B84" i="3" s="1"/>
  <c r="D53" i="8"/>
  <c r="C23" i="3" s="1"/>
  <c r="C12" i="11"/>
  <c r="C15" i="11"/>
  <c r="E59" i="7"/>
  <c r="E57" i="7"/>
  <c r="B36" i="9"/>
  <c r="K69" i="8"/>
  <c r="D73" i="14" s="1"/>
  <c r="F74" i="14" s="1"/>
  <c r="F71" i="7"/>
  <c r="B159" i="7" s="1"/>
  <c r="J74" i="9" s="1"/>
  <c r="F53" i="7"/>
  <c r="G53" i="7" s="1"/>
  <c r="B36" i="3"/>
  <c r="B78" i="3" s="1"/>
  <c r="C18" i="11"/>
  <c r="K45" i="8"/>
  <c r="N45" i="8" s="1"/>
  <c r="D56" i="8"/>
  <c r="C26" i="3" s="1"/>
  <c r="D55" i="8"/>
  <c r="C25" i="3" s="1"/>
  <c r="D54" i="8"/>
  <c r="C24" i="3" s="1"/>
  <c r="B32" i="9"/>
  <c r="C11" i="11"/>
  <c r="B35" i="3"/>
  <c r="B77" i="3" s="1"/>
  <c r="C57" i="9"/>
  <c r="D36" i="11"/>
  <c r="F36" i="11" s="1"/>
  <c r="C60" i="3"/>
  <c r="N54" i="8"/>
  <c r="G18" i="11" s="1"/>
  <c r="C42" i="3"/>
  <c r="D18" i="11"/>
  <c r="F18" i="11" s="1"/>
  <c r="C67" i="3"/>
  <c r="D43" i="11"/>
  <c r="F43" i="11" s="1"/>
  <c r="D38" i="11"/>
  <c r="F38" i="11" s="1"/>
  <c r="C62" i="3"/>
  <c r="C64" i="9"/>
  <c r="N52" i="8"/>
  <c r="G16" i="11" s="1"/>
  <c r="D16" i="11"/>
  <c r="F16" i="11" s="1"/>
  <c r="C40" i="3"/>
  <c r="C60" i="9"/>
  <c r="D39" i="11"/>
  <c r="F39" i="11" s="1"/>
  <c r="C63" i="3"/>
  <c r="N49" i="8"/>
  <c r="G13" i="11" s="1"/>
  <c r="D13" i="11"/>
  <c r="F13" i="11" s="1"/>
  <c r="C37" i="3"/>
  <c r="C51" i="9"/>
  <c r="C41" i="9"/>
  <c r="D20" i="11"/>
  <c r="F20" i="11" s="1"/>
  <c r="C44" i="3"/>
  <c r="C59" i="3"/>
  <c r="D35" i="11"/>
  <c r="F35" i="11" s="1"/>
  <c r="C62" i="9"/>
  <c r="C65" i="3"/>
  <c r="D41" i="11"/>
  <c r="F41" i="11" s="1"/>
  <c r="N47" i="8"/>
  <c r="G11" i="11" s="1"/>
  <c r="D11" i="11"/>
  <c r="F11" i="11" s="1"/>
  <c r="C35" i="3"/>
  <c r="N55" i="8"/>
  <c r="G19" i="11" s="1"/>
  <c r="D19" i="11"/>
  <c r="F19" i="11" s="1"/>
  <c r="C43" i="3"/>
  <c r="C65" i="9"/>
  <c r="D44" i="11"/>
  <c r="F44" i="11" s="1"/>
  <c r="C68" i="3"/>
  <c r="D102" i="7"/>
  <c r="D95" i="7"/>
  <c r="D101" i="7"/>
  <c r="D96" i="7"/>
  <c r="D103" i="7"/>
  <c r="D99" i="7"/>
  <c r="D105" i="7"/>
  <c r="D106" i="7"/>
  <c r="D97" i="7"/>
  <c r="D100" i="7"/>
  <c r="D98" i="7"/>
  <c r="D104" i="7"/>
  <c r="C61" i="9"/>
  <c r="D40" i="11"/>
  <c r="F40" i="11" s="1"/>
  <c r="C64" i="3"/>
  <c r="N53" i="8"/>
  <c r="G17" i="11" s="1"/>
  <c r="C41" i="3"/>
  <c r="D17" i="11"/>
  <c r="F17" i="11" s="1"/>
  <c r="D15" i="11"/>
  <c r="F15" i="11" s="1"/>
  <c r="C39" i="3"/>
  <c r="N51" i="8"/>
  <c r="G15" i="11" s="1"/>
  <c r="B12" i="7"/>
  <c r="B49" i="12" s="1"/>
  <c r="E93" i="7"/>
  <c r="F93" i="7" s="1"/>
  <c r="E89" i="7"/>
  <c r="E84" i="7"/>
  <c r="F84" i="7" s="1"/>
  <c r="E83" i="7"/>
  <c r="E94" i="7"/>
  <c r="E91" i="7"/>
  <c r="F91" i="7" s="1"/>
  <c r="E85" i="7"/>
  <c r="F85" i="7" s="1"/>
  <c r="E92" i="7"/>
  <c r="F92" i="7" s="1"/>
  <c r="E90" i="7"/>
  <c r="F90" i="7" s="1"/>
  <c r="E87" i="7"/>
  <c r="F87" i="7" s="1"/>
  <c r="E86" i="7"/>
  <c r="E88" i="7"/>
  <c r="F88" i="7" s="1"/>
  <c r="C38" i="9"/>
  <c r="C55" i="9"/>
  <c r="C58" i="3"/>
  <c r="D34" i="11"/>
  <c r="F34" i="11" s="1"/>
  <c r="D37" i="11"/>
  <c r="F37" i="11" s="1"/>
  <c r="C61" i="3"/>
  <c r="C66" i="3"/>
  <c r="D42" i="11"/>
  <c r="F42" i="11" s="1"/>
  <c r="N48" i="8"/>
  <c r="G12" i="11" s="1"/>
  <c r="D12" i="11"/>
  <c r="F12" i="11" s="1"/>
  <c r="C36" i="3"/>
  <c r="C34" i="3"/>
  <c r="D10" i="11"/>
  <c r="F10" i="11" s="1"/>
  <c r="N50" i="8"/>
  <c r="G14" i="11" s="1"/>
  <c r="D14" i="11"/>
  <c r="F14" i="11" s="1"/>
  <c r="C38" i="3"/>
  <c r="F140" i="8"/>
  <c r="B141" i="8" s="1"/>
  <c r="C141" i="8" s="1"/>
  <c r="C56" i="9"/>
  <c r="C63" i="9"/>
  <c r="N56" i="8"/>
  <c r="G20" i="11" s="1"/>
  <c r="C32" i="9"/>
  <c r="C40" i="9"/>
  <c r="C31" i="9"/>
  <c r="C33" i="9"/>
  <c r="C37" i="9"/>
  <c r="C35" i="9"/>
  <c r="C58" i="9"/>
  <c r="C34" i="9"/>
  <c r="D45" i="8"/>
  <c r="D52" i="8"/>
  <c r="D48" i="8"/>
  <c r="D46" i="8"/>
  <c r="D47" i="8"/>
  <c r="C49" i="3" l="1"/>
  <c r="D24" i="11"/>
  <c r="F24" i="11" s="1"/>
  <c r="C48" i="3"/>
  <c r="E60" i="7"/>
  <c r="C54" i="3"/>
  <c r="D30" i="14"/>
  <c r="F31" i="14" s="1"/>
  <c r="F32" i="14" s="1"/>
  <c r="C54" i="9"/>
  <c r="N64" i="8"/>
  <c r="G28" i="11" s="1"/>
  <c r="C49" i="9"/>
  <c r="C46" i="3"/>
  <c r="C43" i="9"/>
  <c r="C52" i="3"/>
  <c r="C53" i="9"/>
  <c r="C50" i="9"/>
  <c r="C51" i="3"/>
  <c r="N58" i="8"/>
  <c r="G22" i="11" s="1"/>
  <c r="D32" i="11"/>
  <c r="F32" i="11" s="1"/>
  <c r="K31" i="9"/>
  <c r="C53" i="3"/>
  <c r="D27" i="11"/>
  <c r="F27" i="11" s="1"/>
  <c r="D25" i="11"/>
  <c r="F25" i="11" s="1"/>
  <c r="N61" i="8"/>
  <c r="G25" i="11" s="1"/>
  <c r="G9" i="11"/>
  <c r="B50" i="11" s="1"/>
  <c r="D26" i="11"/>
  <c r="F26" i="11" s="1"/>
  <c r="C50" i="3"/>
  <c r="C52" i="9"/>
  <c r="D31" i="11"/>
  <c r="F31" i="11" s="1"/>
  <c r="K57" i="8"/>
  <c r="D51" i="14" s="1"/>
  <c r="C44" i="9"/>
  <c r="C47" i="3"/>
  <c r="B17" i="3"/>
  <c r="G151" i="12" a="1"/>
  <c r="G151" i="12" s="1"/>
  <c r="B55" i="11"/>
  <c r="E55" i="11" s="1"/>
  <c r="B58" i="11"/>
  <c r="E58" i="11" s="1"/>
  <c r="B57" i="11"/>
  <c r="E57" i="11" s="1"/>
  <c r="B51" i="11"/>
  <c r="E51" i="11" s="1"/>
  <c r="C9" i="11"/>
  <c r="B51" i="12"/>
  <c r="E64" i="12"/>
  <c r="F64" i="12" s="1"/>
  <c r="B125" i="12" s="1"/>
  <c r="E63" i="12"/>
  <c r="F63" i="12" s="1"/>
  <c r="B124" i="12" s="1"/>
  <c r="E66" i="12"/>
  <c r="F66" i="12" s="1"/>
  <c r="B127" i="12" s="1"/>
  <c r="E65" i="12"/>
  <c r="E67" i="12"/>
  <c r="F67" i="12" s="1"/>
  <c r="B128" i="12" s="1"/>
  <c r="E58" i="12"/>
  <c r="F58" i="12" s="1"/>
  <c r="B119" i="12" s="1"/>
  <c r="E60" i="12"/>
  <c r="F60" i="12" s="1"/>
  <c r="B121" i="12" s="1"/>
  <c r="E59" i="12"/>
  <c r="F59" i="12" s="1"/>
  <c r="B120" i="12" s="1"/>
  <c r="E62" i="12"/>
  <c r="F62" i="12" s="1"/>
  <c r="B123" i="12" s="1"/>
  <c r="E61" i="12"/>
  <c r="F61" i="12" s="1"/>
  <c r="B122" i="12" s="1"/>
  <c r="E57" i="12"/>
  <c r="F57" i="12" s="1"/>
  <c r="B118" i="12" s="1"/>
  <c r="E56" i="12"/>
  <c r="F56" i="12" s="1"/>
  <c r="B117" i="12" s="1"/>
  <c r="D79" i="12"/>
  <c r="D71" i="12"/>
  <c r="D68" i="12"/>
  <c r="D77" i="12"/>
  <c r="D74" i="12"/>
  <c r="D70" i="12"/>
  <c r="D76" i="12"/>
  <c r="D73" i="12"/>
  <c r="D69" i="12"/>
  <c r="D75" i="12"/>
  <c r="D72" i="12"/>
  <c r="D78" i="12"/>
  <c r="F65" i="12"/>
  <c r="B126" i="12" s="1"/>
  <c r="B65" i="8"/>
  <c r="E65" i="8" s="1"/>
  <c r="E18" i="3"/>
  <c r="E15" i="3"/>
  <c r="B15" i="3"/>
  <c r="B33" i="3"/>
  <c r="B30" i="9"/>
  <c r="C57" i="3"/>
  <c r="E61" i="7"/>
  <c r="E63" i="7"/>
  <c r="D33" i="11"/>
  <c r="F33" i="11" s="1"/>
  <c r="E62" i="7"/>
  <c r="B16" i="3"/>
  <c r="E16" i="3"/>
  <c r="F86" i="7"/>
  <c r="N60" i="8" s="1"/>
  <c r="F58" i="7"/>
  <c r="G58" i="7" s="1"/>
  <c r="B20" i="3" s="1"/>
  <c r="F83" i="7"/>
  <c r="F57" i="7"/>
  <c r="G57" i="7" s="1"/>
  <c r="B66" i="8" s="1"/>
  <c r="D19" i="3" s="1"/>
  <c r="F89" i="7"/>
  <c r="N63" i="8" s="1"/>
  <c r="F59" i="7"/>
  <c r="G59" i="7" s="1"/>
  <c r="B21" i="3" s="1"/>
  <c r="F94" i="7"/>
  <c r="B53" i="9" s="1"/>
  <c r="E64" i="7"/>
  <c r="B62" i="8"/>
  <c r="E62" i="8" s="1"/>
  <c r="C30" i="9"/>
  <c r="C33" i="3"/>
  <c r="D9" i="11"/>
  <c r="B52" i="9"/>
  <c r="B55" i="3"/>
  <c r="B97" i="3" s="1"/>
  <c r="C31" i="11"/>
  <c r="N67" i="8"/>
  <c r="G31" i="11" s="1"/>
  <c r="B44" i="9"/>
  <c r="C23" i="11"/>
  <c r="B47" i="3"/>
  <c r="B89" i="3" s="1"/>
  <c r="N59" i="8"/>
  <c r="G23" i="11" s="1"/>
  <c r="B51" i="9"/>
  <c r="B54" i="3"/>
  <c r="B96" i="3" s="1"/>
  <c r="C30" i="11"/>
  <c r="N66" i="8"/>
  <c r="G30" i="11" s="1"/>
  <c r="B50" i="9"/>
  <c r="B53" i="3"/>
  <c r="B95" i="3" s="1"/>
  <c r="C29" i="11"/>
  <c r="N65" i="8"/>
  <c r="G29" i="11" s="1"/>
  <c r="Q47" i="8"/>
  <c r="D35" i="3"/>
  <c r="Q52" i="8"/>
  <c r="D40" i="3"/>
  <c r="Q48" i="8"/>
  <c r="D36" i="3"/>
  <c r="B49" i="9"/>
  <c r="C28" i="11"/>
  <c r="B52" i="3"/>
  <c r="B94" i="3" s="1"/>
  <c r="E95" i="7"/>
  <c r="E105" i="7"/>
  <c r="F105" i="7" s="1"/>
  <c r="E98" i="7"/>
  <c r="E100" i="7"/>
  <c r="F100" i="7" s="1"/>
  <c r="E106" i="7"/>
  <c r="F106" i="7" s="1"/>
  <c r="E102" i="7"/>
  <c r="F102" i="7" s="1"/>
  <c r="E104" i="7"/>
  <c r="F104" i="7" s="1"/>
  <c r="E99" i="7"/>
  <c r="F99" i="7" s="1"/>
  <c r="E103" i="7"/>
  <c r="F103" i="7" s="1"/>
  <c r="E96" i="7"/>
  <c r="F96" i="7" s="1"/>
  <c r="E97" i="7"/>
  <c r="F97" i="7" s="1"/>
  <c r="E101" i="7"/>
  <c r="F101" i="7" s="1"/>
  <c r="B47" i="9"/>
  <c r="C26" i="11"/>
  <c r="B50" i="3"/>
  <c r="B92" i="3" s="1"/>
  <c r="N62" i="8"/>
  <c r="G26" i="11" s="1"/>
  <c r="Q51" i="8"/>
  <c r="D39" i="3"/>
  <c r="Q56" i="8"/>
  <c r="D44" i="3"/>
  <c r="B43" i="9"/>
  <c r="B46" i="3"/>
  <c r="B88" i="3" s="1"/>
  <c r="C22" i="11"/>
  <c r="Q50" i="8"/>
  <c r="D38" i="3"/>
  <c r="Q54" i="8"/>
  <c r="D42" i="3"/>
  <c r="Q55" i="8"/>
  <c r="D43" i="3"/>
  <c r="Q46" i="8"/>
  <c r="D34" i="3"/>
  <c r="Q53" i="8"/>
  <c r="D41" i="3"/>
  <c r="B46" i="9"/>
  <c r="C25" i="11"/>
  <c r="B49" i="3"/>
  <c r="B91" i="3" s="1"/>
  <c r="Q49" i="8"/>
  <c r="D37" i="3"/>
  <c r="D141" i="8"/>
  <c r="J35" i="3"/>
  <c r="J32" i="9"/>
  <c r="J7" i="9" s="1"/>
  <c r="J15" i="3"/>
  <c r="B63" i="8"/>
  <c r="E63" i="8" s="1"/>
  <c r="C15" i="3"/>
  <c r="C22" i="3"/>
  <c r="C20" i="3"/>
  <c r="C21" i="3"/>
  <c r="C16" i="3"/>
  <c r="C18" i="3"/>
  <c r="B64" i="8"/>
  <c r="E64" i="8" s="1"/>
  <c r="C17" i="3"/>
  <c r="B75" i="3" l="1"/>
  <c r="T33" i="3"/>
  <c r="Q64" i="8"/>
  <c r="F60" i="7"/>
  <c r="G60" i="7" s="1"/>
  <c r="B22" i="3" s="1"/>
  <c r="D52" i="3"/>
  <c r="D74" i="14"/>
  <c r="F75" i="14"/>
  <c r="C42" i="9"/>
  <c r="Q58" i="8"/>
  <c r="D33" i="3"/>
  <c r="D46" i="3"/>
  <c r="D49" i="3"/>
  <c r="Q61" i="8"/>
  <c r="Q45" i="8"/>
  <c r="N57" i="8"/>
  <c r="G21" i="11" s="1"/>
  <c r="D21" i="11"/>
  <c r="F21" i="11" s="1"/>
  <c r="D31" i="14"/>
  <c r="D32" i="14" s="1"/>
  <c r="H30" i="9" a="1"/>
  <c r="H30" i="9" s="1"/>
  <c r="H7" i="9" s="1"/>
  <c r="C45" i="3"/>
  <c r="D48" i="3"/>
  <c r="G24" i="11"/>
  <c r="Q63" i="8"/>
  <c r="G27" i="11"/>
  <c r="B64" i="11"/>
  <c r="E64" i="11" s="1"/>
  <c r="B59" i="11"/>
  <c r="E59" i="11" s="1"/>
  <c r="B60" i="11"/>
  <c r="E60" i="11" s="1"/>
  <c r="B56" i="11"/>
  <c r="E56" i="11" s="1"/>
  <c r="B52" i="11"/>
  <c r="E52" i="11" s="1"/>
  <c r="B71" i="11"/>
  <c r="E71" i="11" s="1"/>
  <c r="B53" i="11"/>
  <c r="E53" i="11" s="1"/>
  <c r="B61" i="11"/>
  <c r="E61" i="11" s="1"/>
  <c r="B54" i="11"/>
  <c r="E54" i="11" s="1"/>
  <c r="F9" i="11"/>
  <c r="D18" i="3"/>
  <c r="B162" i="12"/>
  <c r="D128" i="12"/>
  <c r="B157" i="12"/>
  <c r="D123" i="12"/>
  <c r="B153" i="12"/>
  <c r="D119" i="12"/>
  <c r="D118" i="12"/>
  <c r="B152" i="12"/>
  <c r="B161" i="12"/>
  <c r="D127" i="12"/>
  <c r="D117" i="12"/>
  <c r="B151" i="12"/>
  <c r="D126" i="12"/>
  <c r="B160" i="12"/>
  <c r="B158" i="12"/>
  <c r="D124" i="12"/>
  <c r="B154" i="12"/>
  <c r="D120" i="12"/>
  <c r="D125" i="12"/>
  <c r="B159" i="12"/>
  <c r="B156" i="12"/>
  <c r="D122" i="12"/>
  <c r="B155" i="12"/>
  <c r="D121" i="12"/>
  <c r="B65" i="9"/>
  <c r="B68" i="3"/>
  <c r="B110" i="3" s="1"/>
  <c r="E77" i="12"/>
  <c r="F77" i="12" s="1"/>
  <c r="B138" i="12" s="1"/>
  <c r="E78" i="12"/>
  <c r="F78" i="12" s="1"/>
  <c r="B139" i="12" s="1"/>
  <c r="E73" i="12"/>
  <c r="F73" i="12" s="1"/>
  <c r="B134" i="12" s="1"/>
  <c r="E69" i="12"/>
  <c r="F69" i="12" s="1"/>
  <c r="B130" i="12" s="1"/>
  <c r="E70" i="12"/>
  <c r="F70" i="12" s="1"/>
  <c r="B131" i="12" s="1"/>
  <c r="E79" i="12"/>
  <c r="F79" i="12" s="1"/>
  <c r="B140" i="12" s="1"/>
  <c r="E74" i="12"/>
  <c r="F74" i="12" s="1"/>
  <c r="B135" i="12" s="1"/>
  <c r="E68" i="12"/>
  <c r="F68" i="12" s="1"/>
  <c r="B129" i="12" s="1"/>
  <c r="E72" i="12"/>
  <c r="F72" i="12" s="1"/>
  <c r="B133" i="12" s="1"/>
  <c r="E76" i="12"/>
  <c r="F76" i="12" s="1"/>
  <c r="B137" i="12" s="1"/>
  <c r="E71" i="12"/>
  <c r="F71" i="12" s="1"/>
  <c r="B132" i="12" s="1"/>
  <c r="E75" i="12"/>
  <c r="F75" i="12" s="1"/>
  <c r="B136" i="12" s="1"/>
  <c r="C27" i="11"/>
  <c r="B48" i="9"/>
  <c r="B68" i="8"/>
  <c r="E68" i="8" s="1"/>
  <c r="E19" i="3"/>
  <c r="D15" i="3"/>
  <c r="N68" i="8"/>
  <c r="B67" i="8"/>
  <c r="D20" i="3" s="1"/>
  <c r="E20" i="3"/>
  <c r="B48" i="3"/>
  <c r="B90" i="3" s="1"/>
  <c r="B42" i="9"/>
  <c r="C24" i="11"/>
  <c r="E66" i="8"/>
  <c r="B19" i="3"/>
  <c r="C21" i="11"/>
  <c r="B51" i="3"/>
  <c r="B93" i="3" s="1"/>
  <c r="B45" i="3"/>
  <c r="B87" i="3" s="1"/>
  <c r="B56" i="3"/>
  <c r="B98" i="3" s="1"/>
  <c r="C32" i="11"/>
  <c r="F61" i="7"/>
  <c r="G61" i="7" s="1"/>
  <c r="B23" i="3" s="1"/>
  <c r="F95" i="7"/>
  <c r="B57" i="3" s="1"/>
  <c r="B99" i="3" s="1"/>
  <c r="Q60" i="8"/>
  <c r="E21" i="3"/>
  <c r="B45" i="9"/>
  <c r="F63" i="7"/>
  <c r="G63" i="7" s="1"/>
  <c r="B25" i="3" s="1"/>
  <c r="D51" i="3"/>
  <c r="F98" i="7"/>
  <c r="B57" i="9" s="1"/>
  <c r="F62" i="7"/>
  <c r="G62" i="7" s="1"/>
  <c r="E24" i="3" s="1"/>
  <c r="F64" i="7"/>
  <c r="G64" i="7" s="1"/>
  <c r="B26" i="3" s="1"/>
  <c r="B55" i="9"/>
  <c r="C34" i="11"/>
  <c r="B58" i="3"/>
  <c r="B100" i="3" s="1"/>
  <c r="N70" i="8"/>
  <c r="G34" i="11" s="1"/>
  <c r="B62" i="9"/>
  <c r="C41" i="11"/>
  <c r="B65" i="3"/>
  <c r="B107" i="3" s="1"/>
  <c r="N77" i="8"/>
  <c r="G41" i="11" s="1"/>
  <c r="B61" i="9"/>
  <c r="C40" i="11"/>
  <c r="B64" i="3"/>
  <c r="B106" i="3" s="1"/>
  <c r="N76" i="8"/>
  <c r="G40" i="11" s="1"/>
  <c r="Q66" i="8"/>
  <c r="D54" i="3"/>
  <c r="B58" i="9"/>
  <c r="B61" i="3"/>
  <c r="B103" i="3" s="1"/>
  <c r="C37" i="11"/>
  <c r="N73" i="8"/>
  <c r="G37" i="11" s="1"/>
  <c r="B56" i="9"/>
  <c r="B59" i="3"/>
  <c r="B101" i="3" s="1"/>
  <c r="C35" i="11"/>
  <c r="N71" i="8"/>
  <c r="G35" i="11" s="1"/>
  <c r="Q65" i="8"/>
  <c r="D53" i="3"/>
  <c r="Q67" i="8"/>
  <c r="D55" i="3"/>
  <c r="B64" i="9"/>
  <c r="C43" i="11"/>
  <c r="B67" i="3"/>
  <c r="B109" i="3" s="1"/>
  <c r="N79" i="8"/>
  <c r="G43" i="11" s="1"/>
  <c r="Q62" i="8"/>
  <c r="D50" i="3"/>
  <c r="B60" i="9"/>
  <c r="C39" i="11"/>
  <c r="B63" i="3"/>
  <c r="B105" i="3" s="1"/>
  <c r="N75" i="8"/>
  <c r="G39" i="11" s="1"/>
  <c r="C44" i="11"/>
  <c r="N80" i="8"/>
  <c r="G44" i="11" s="1"/>
  <c r="B63" i="9"/>
  <c r="C42" i="11"/>
  <c r="B66" i="3"/>
  <c r="B108" i="3" s="1"/>
  <c r="N78" i="8"/>
  <c r="G42" i="11" s="1"/>
  <c r="Q59" i="8"/>
  <c r="D47" i="3"/>
  <c r="B59" i="9"/>
  <c r="B62" i="3"/>
  <c r="B104" i="3" s="1"/>
  <c r="C38" i="11"/>
  <c r="N74" i="8"/>
  <c r="G38" i="11" s="1"/>
  <c r="F141" i="8"/>
  <c r="B142" i="8" s="1"/>
  <c r="C142" i="8" s="1"/>
  <c r="K32" i="9"/>
  <c r="K7" i="9" s="1"/>
  <c r="D16" i="3"/>
  <c r="D17" i="3"/>
  <c r="E50" i="11" l="1"/>
  <c r="F50" i="11" s="1"/>
  <c r="F51" i="11" s="1"/>
  <c r="F52" i="11" s="1"/>
  <c r="F53" i="11" s="1"/>
  <c r="F54" i="11" s="1"/>
  <c r="F55" i="11" s="1"/>
  <c r="F56" i="11" s="1"/>
  <c r="F57" i="11" s="1"/>
  <c r="F58" i="11" s="1"/>
  <c r="F59" i="11" s="1"/>
  <c r="F60" i="11" s="1"/>
  <c r="F61" i="11" s="1"/>
  <c r="D75" i="14"/>
  <c r="D52" i="14"/>
  <c r="F52" i="14"/>
  <c r="F53" i="14" s="1"/>
  <c r="D45" i="3"/>
  <c r="Q57" i="8"/>
  <c r="H15" i="9"/>
  <c r="H13" i="9"/>
  <c r="H11" i="9"/>
  <c r="H9" i="9"/>
  <c r="H17" i="9"/>
  <c r="H16" i="9"/>
  <c r="H14" i="9"/>
  <c r="H18" i="9"/>
  <c r="H8" i="9"/>
  <c r="H10" i="9"/>
  <c r="H12" i="9"/>
  <c r="D21" i="3"/>
  <c r="Q68" i="8"/>
  <c r="G32" i="11"/>
  <c r="B62" i="11"/>
  <c r="E62" i="11" s="1"/>
  <c r="B72" i="11"/>
  <c r="E72" i="11" s="1"/>
  <c r="B67" i="11"/>
  <c r="E67" i="11" s="1"/>
  <c r="C50" i="11"/>
  <c r="B66" i="11"/>
  <c r="E66" i="11" s="1"/>
  <c r="B63" i="11"/>
  <c r="E63" i="11" s="1"/>
  <c r="B69" i="11"/>
  <c r="E69" i="11" s="1"/>
  <c r="B70" i="11"/>
  <c r="E70" i="11" s="1"/>
  <c r="B54" i="9"/>
  <c r="B174" i="12"/>
  <c r="D140" i="12"/>
  <c r="B170" i="12"/>
  <c r="D136" i="12"/>
  <c r="B163" i="12"/>
  <c r="D129" i="12"/>
  <c r="B164" i="12"/>
  <c r="D130" i="12"/>
  <c r="D134" i="12"/>
  <c r="B168" i="12"/>
  <c r="D133" i="12"/>
  <c r="B167" i="12"/>
  <c r="B165" i="12"/>
  <c r="D131" i="12"/>
  <c r="B171" i="12"/>
  <c r="D137" i="12"/>
  <c r="N69" i="8"/>
  <c r="B172" i="12"/>
  <c r="D138" i="12"/>
  <c r="B166" i="12"/>
  <c r="D132" i="12"/>
  <c r="B173" i="12"/>
  <c r="D139" i="12"/>
  <c r="B169" i="12"/>
  <c r="D135" i="12"/>
  <c r="E67" i="8"/>
  <c r="D56" i="3"/>
  <c r="B72" i="8"/>
  <c r="E72" i="8" s="1"/>
  <c r="E25" i="3"/>
  <c r="B70" i="8"/>
  <c r="E70" i="8" s="1"/>
  <c r="B60" i="3"/>
  <c r="B102" i="3" s="1"/>
  <c r="N72" i="8"/>
  <c r="C36" i="11"/>
  <c r="E23" i="3"/>
  <c r="B71" i="8"/>
  <c r="D24" i="3" s="1"/>
  <c r="B24" i="3"/>
  <c r="C33" i="11"/>
  <c r="E22" i="3"/>
  <c r="B69" i="8"/>
  <c r="B73" i="8"/>
  <c r="D26" i="3" s="1"/>
  <c r="E26" i="3"/>
  <c r="Q75" i="8"/>
  <c r="D63" i="3"/>
  <c r="Q71" i="8"/>
  <c r="D59" i="3"/>
  <c r="Q76" i="8"/>
  <c r="D64" i="3"/>
  <c r="Q70" i="8"/>
  <c r="D58" i="3"/>
  <c r="Q77" i="8"/>
  <c r="D65" i="3"/>
  <c r="Q74" i="8"/>
  <c r="D62" i="3"/>
  <c r="Q79" i="8"/>
  <c r="D67" i="3"/>
  <c r="Q73" i="8"/>
  <c r="D61" i="3"/>
  <c r="Q78" i="8"/>
  <c r="D66" i="3"/>
  <c r="Q80" i="8"/>
  <c r="D68" i="3"/>
  <c r="J36" i="3"/>
  <c r="J33" i="9"/>
  <c r="D142" i="8"/>
  <c r="N91" i="11" l="1"/>
  <c r="D53" i="14"/>
  <c r="D55" i="14" s="1"/>
  <c r="F62" i="11"/>
  <c r="F63" i="11" s="1"/>
  <c r="F64" i="11" s="1"/>
  <c r="Q72" i="8"/>
  <c r="G36" i="11"/>
  <c r="B77" i="11" s="1"/>
  <c r="E77" i="11" s="1"/>
  <c r="Q69" i="8"/>
  <c r="G33" i="11"/>
  <c r="B84" i="11"/>
  <c r="E84" i="11" s="1"/>
  <c r="B81" i="11"/>
  <c r="E81" i="11" s="1"/>
  <c r="C51" i="11"/>
  <c r="B65" i="11"/>
  <c r="E65" i="11" s="1"/>
  <c r="B75" i="11"/>
  <c r="E75" i="11" s="1"/>
  <c r="D57" i="3"/>
  <c r="B73" i="11"/>
  <c r="E73" i="11" s="1"/>
  <c r="B68" i="11"/>
  <c r="E68" i="11" s="1"/>
  <c r="B80" i="11"/>
  <c r="E80" i="11" s="1"/>
  <c r="B79" i="11"/>
  <c r="E79" i="11" s="1"/>
  <c r="B76" i="11"/>
  <c r="E76" i="11" s="1"/>
  <c r="B82" i="11"/>
  <c r="E82" i="11" s="1"/>
  <c r="B85" i="11"/>
  <c r="E85" i="11" s="1"/>
  <c r="B78" i="11"/>
  <c r="E78" i="11" s="1"/>
  <c r="B83" i="11"/>
  <c r="E83" i="11" s="1"/>
  <c r="D25" i="3"/>
  <c r="D23" i="3"/>
  <c r="D60" i="3"/>
  <c r="E71" i="8"/>
  <c r="E73" i="8"/>
  <c r="D22" i="3"/>
  <c r="E69" i="8"/>
  <c r="F142" i="8"/>
  <c r="B143" i="8" s="1"/>
  <c r="C143" i="8" s="1"/>
  <c r="K33" i="9"/>
  <c r="N92" i="11" l="1"/>
  <c r="F65" i="11"/>
  <c r="F66" i="11" s="1"/>
  <c r="F67" i="11" s="1"/>
  <c r="F68" i="11" s="1"/>
  <c r="F69" i="11" s="1"/>
  <c r="F70" i="11" s="1"/>
  <c r="F71" i="11" s="1"/>
  <c r="F72" i="11" s="1"/>
  <c r="F73" i="11" s="1"/>
  <c r="B74" i="11"/>
  <c r="E74" i="11" s="1"/>
  <c r="C52" i="11"/>
  <c r="J37" i="3"/>
  <c r="J34" i="9"/>
  <c r="D143" i="8"/>
  <c r="D23" i="1"/>
  <c r="D20" i="1"/>
  <c r="D19" i="1"/>
  <c r="C12" i="1" l="1"/>
  <c r="C14" i="1"/>
  <c r="N93" i="11"/>
  <c r="F74" i="11"/>
  <c r="F75" i="11" s="1"/>
  <c r="F76" i="11" s="1"/>
  <c r="F77" i="11" s="1"/>
  <c r="F78" i="11" s="1"/>
  <c r="F79" i="11" s="1"/>
  <c r="F80" i="11" s="1"/>
  <c r="F81" i="11" s="1"/>
  <c r="F82" i="11" s="1"/>
  <c r="F83" i="11" s="1"/>
  <c r="F84" i="11" s="1"/>
  <c r="F85" i="11" s="1"/>
  <c r="C13" i="1"/>
  <c r="C83" i="8" s="1"/>
  <c r="C53" i="11"/>
  <c r="D83" i="8"/>
  <c r="F143" i="8"/>
  <c r="B144" i="8" s="1"/>
  <c r="K34" i="9"/>
  <c r="N94" i="11" l="1"/>
  <c r="C54" i="11"/>
  <c r="D13" i="1"/>
  <c r="C144" i="8"/>
  <c r="F33" i="9"/>
  <c r="F40" i="9"/>
  <c r="F41" i="9"/>
  <c r="F31" i="9"/>
  <c r="F35" i="9"/>
  <c r="F30" i="9"/>
  <c r="F34" i="9"/>
  <c r="F39" i="9"/>
  <c r="F32" i="9"/>
  <c r="F37" i="9"/>
  <c r="F36" i="9"/>
  <c r="B83" i="8"/>
  <c r="B102" i="8" s="1"/>
  <c r="F38" i="9"/>
  <c r="D12" i="1"/>
  <c r="F47" i="9"/>
  <c r="F48" i="9"/>
  <c r="F49" i="9"/>
  <c r="F50" i="9"/>
  <c r="C102" i="8"/>
  <c r="F43" i="9"/>
  <c r="F51" i="9"/>
  <c r="F44" i="9"/>
  <c r="F52" i="9"/>
  <c r="F45" i="9"/>
  <c r="F53" i="9"/>
  <c r="F46" i="9"/>
  <c r="F42" i="9"/>
  <c r="D14" i="1"/>
  <c r="F62" i="9"/>
  <c r="F55" i="9"/>
  <c r="F63" i="9"/>
  <c r="F56" i="9"/>
  <c r="F64" i="9"/>
  <c r="F59" i="9"/>
  <c r="F61" i="9"/>
  <c r="F57" i="9"/>
  <c r="F65" i="9"/>
  <c r="F60" i="9"/>
  <c r="F58" i="9"/>
  <c r="F54" i="9"/>
  <c r="D102" i="8"/>
  <c r="N95" i="11" l="1"/>
  <c r="F34" i="3"/>
  <c r="U34" i="3" s="1"/>
  <c r="B9" i="11"/>
  <c r="H9" i="11" s="1"/>
  <c r="E154" i="12"/>
  <c r="E162" i="12"/>
  <c r="E170" i="12"/>
  <c r="E172" i="12"/>
  <c r="E166" i="12"/>
  <c r="E161" i="12"/>
  <c r="E155" i="12"/>
  <c r="E163" i="12"/>
  <c r="E171" i="12"/>
  <c r="E156" i="12"/>
  <c r="E164" i="12"/>
  <c r="E159" i="12"/>
  <c r="E167" i="12"/>
  <c r="E152" i="12"/>
  <c r="E160" i="12"/>
  <c r="E168" i="12"/>
  <c r="E153" i="12"/>
  <c r="E169" i="12"/>
  <c r="E157" i="12"/>
  <c r="E165" i="12"/>
  <c r="E173" i="12"/>
  <c r="E158" i="12"/>
  <c r="E174" i="12"/>
  <c r="E151" i="12"/>
  <c r="C55" i="11"/>
  <c r="F22" i="3"/>
  <c r="G22" i="3" s="1"/>
  <c r="B25" i="11"/>
  <c r="B21" i="11"/>
  <c r="F50" i="3"/>
  <c r="B26" i="11"/>
  <c r="F51" i="3"/>
  <c r="B27" i="11"/>
  <c r="F52" i="3"/>
  <c r="B28" i="11"/>
  <c r="F53" i="3"/>
  <c r="B29" i="11"/>
  <c r="F46" i="3"/>
  <c r="F54" i="3"/>
  <c r="B22" i="11"/>
  <c r="B30" i="11"/>
  <c r="F47" i="3"/>
  <c r="F55" i="3"/>
  <c r="B23" i="11"/>
  <c r="B31" i="11"/>
  <c r="F48" i="3"/>
  <c r="F56" i="3"/>
  <c r="B24" i="11"/>
  <c r="B32" i="11"/>
  <c r="F49" i="3"/>
  <c r="F45" i="3"/>
  <c r="E48" i="9"/>
  <c r="G48" i="9" s="1"/>
  <c r="E45" i="9"/>
  <c r="G45" i="9" s="1"/>
  <c r="E52" i="9"/>
  <c r="G52" i="9" s="1"/>
  <c r="E43" i="9"/>
  <c r="G43" i="9" s="1"/>
  <c r="E47" i="9"/>
  <c r="G47" i="9" s="1"/>
  <c r="E50" i="9"/>
  <c r="G50" i="9" s="1"/>
  <c r="E42" i="9"/>
  <c r="G42" i="9" s="1"/>
  <c r="E53" i="9"/>
  <c r="G53" i="9" s="1"/>
  <c r="E46" i="9"/>
  <c r="G46" i="9" s="1"/>
  <c r="E51" i="9"/>
  <c r="G51" i="9" s="1"/>
  <c r="E49" i="9"/>
  <c r="G49" i="9" s="1"/>
  <c r="E44" i="9"/>
  <c r="G44" i="9" s="1"/>
  <c r="F19" i="3"/>
  <c r="G19" i="3" s="1"/>
  <c r="F20" i="3"/>
  <c r="G20" i="3" s="1"/>
  <c r="F21" i="3"/>
  <c r="G21" i="3" s="1"/>
  <c r="F16" i="3"/>
  <c r="G16" i="3" s="1"/>
  <c r="B17" i="11"/>
  <c r="G34" i="3"/>
  <c r="I34" i="3" s="1"/>
  <c r="F42" i="3"/>
  <c r="B10" i="11"/>
  <c r="B18" i="11"/>
  <c r="F35" i="3"/>
  <c r="F43" i="3"/>
  <c r="B11" i="11"/>
  <c r="B19" i="11"/>
  <c r="F36" i="3"/>
  <c r="F44" i="3"/>
  <c r="B12" i="11"/>
  <c r="B20" i="11"/>
  <c r="F37" i="3"/>
  <c r="F33" i="3"/>
  <c r="U33" i="3" s="1"/>
  <c r="B13" i="11"/>
  <c r="F38" i="3"/>
  <c r="F15" i="3"/>
  <c r="G15" i="3" s="1"/>
  <c r="B14" i="11"/>
  <c r="F39" i="3"/>
  <c r="B15" i="11"/>
  <c r="F40" i="3"/>
  <c r="B16" i="11"/>
  <c r="F41" i="3"/>
  <c r="E35" i="9"/>
  <c r="G35" i="9" s="1"/>
  <c r="E34" i="9"/>
  <c r="G34" i="9" s="1"/>
  <c r="E41" i="9"/>
  <c r="G41" i="9" s="1"/>
  <c r="E33" i="9"/>
  <c r="G33" i="9" s="1"/>
  <c r="F17" i="3"/>
  <c r="G17" i="3" s="1"/>
  <c r="E31" i="9"/>
  <c r="G31" i="9" s="1"/>
  <c r="F18" i="3"/>
  <c r="G18" i="3" s="1"/>
  <c r="E30" i="9"/>
  <c r="G30" i="9" s="1"/>
  <c r="E37" i="9"/>
  <c r="G37" i="9" s="1"/>
  <c r="E36" i="9"/>
  <c r="G36" i="9" s="1"/>
  <c r="E39" i="9"/>
  <c r="G39" i="9" s="1"/>
  <c r="E32" i="9"/>
  <c r="G32" i="9" s="1"/>
  <c r="E40" i="9"/>
  <c r="G40" i="9" s="1"/>
  <c r="E38" i="9"/>
  <c r="G38" i="9" s="1"/>
  <c r="B40" i="11"/>
  <c r="F58" i="3"/>
  <c r="F66" i="3"/>
  <c r="B41" i="11"/>
  <c r="F59" i="3"/>
  <c r="F67" i="3"/>
  <c r="B34" i="11"/>
  <c r="B42" i="11"/>
  <c r="F60" i="3"/>
  <c r="F68" i="3"/>
  <c r="U68" i="3" s="1"/>
  <c r="B35" i="11"/>
  <c r="B43" i="11"/>
  <c r="F61" i="3"/>
  <c r="F57" i="3"/>
  <c r="B36" i="11"/>
  <c r="B33" i="11"/>
  <c r="F62" i="3"/>
  <c r="B44" i="11"/>
  <c r="B37" i="11"/>
  <c r="F63" i="3"/>
  <c r="B38" i="11"/>
  <c r="F64" i="3"/>
  <c r="B39" i="11"/>
  <c r="F65" i="3"/>
  <c r="J38" i="3"/>
  <c r="J35" i="9"/>
  <c r="J8" i="9" s="1"/>
  <c r="D144" i="8"/>
  <c r="J16" i="3"/>
  <c r="F26" i="3"/>
  <c r="G26" i="3" s="1"/>
  <c r="E62" i="9"/>
  <c r="G62" i="9" s="1"/>
  <c r="E55" i="9"/>
  <c r="G55" i="9" s="1"/>
  <c r="E63" i="9"/>
  <c r="G63" i="9" s="1"/>
  <c r="E59" i="9"/>
  <c r="G59" i="9" s="1"/>
  <c r="E60" i="9"/>
  <c r="G60" i="9" s="1"/>
  <c r="E56" i="9"/>
  <c r="G56" i="9" s="1"/>
  <c r="E64" i="9"/>
  <c r="G64" i="9" s="1"/>
  <c r="E57" i="9"/>
  <c r="G57" i="9" s="1"/>
  <c r="E65" i="9"/>
  <c r="G65" i="9" s="1"/>
  <c r="E61" i="9"/>
  <c r="G61" i="9" s="1"/>
  <c r="E58" i="9"/>
  <c r="G58" i="9" s="1"/>
  <c r="E54" i="9"/>
  <c r="G54" i="9" s="1"/>
  <c r="F23" i="3"/>
  <c r="G23" i="3" s="1"/>
  <c r="F25" i="3"/>
  <c r="G25" i="3" s="1"/>
  <c r="F24" i="3"/>
  <c r="G24" i="3" s="1"/>
  <c r="G63" i="3" l="1"/>
  <c r="I63" i="3" s="1"/>
  <c r="U63" i="3"/>
  <c r="G36" i="3"/>
  <c r="I36" i="3" s="1"/>
  <c r="K36" i="3" s="1"/>
  <c r="L36" i="3" s="1"/>
  <c r="M36" i="3" s="1"/>
  <c r="U36" i="3"/>
  <c r="G53" i="3"/>
  <c r="I53" i="3" s="1"/>
  <c r="U53" i="3"/>
  <c r="G58" i="3"/>
  <c r="I58" i="3" s="1"/>
  <c r="U58" i="3"/>
  <c r="G41" i="3"/>
  <c r="I41" i="3" s="1"/>
  <c r="U41" i="3"/>
  <c r="G45" i="3"/>
  <c r="I45" i="3" s="1"/>
  <c r="U45" i="3"/>
  <c r="G55" i="3"/>
  <c r="I55" i="3" s="1"/>
  <c r="U55" i="3"/>
  <c r="G62" i="3"/>
  <c r="I62" i="3" s="1"/>
  <c r="U62" i="3"/>
  <c r="G52" i="3"/>
  <c r="I52" i="3" s="1"/>
  <c r="U52" i="3"/>
  <c r="G49" i="3"/>
  <c r="I49" i="3" s="1"/>
  <c r="U49" i="3"/>
  <c r="G65" i="3"/>
  <c r="I65" i="3" s="1"/>
  <c r="U65" i="3"/>
  <c r="G40" i="3"/>
  <c r="I40" i="3" s="1"/>
  <c r="U40" i="3"/>
  <c r="G37" i="3"/>
  <c r="I37" i="3" s="1"/>
  <c r="K37" i="3" s="1"/>
  <c r="U37" i="3"/>
  <c r="G51" i="3"/>
  <c r="I51" i="3" s="1"/>
  <c r="U51" i="3"/>
  <c r="G61" i="3"/>
  <c r="I61" i="3" s="1"/>
  <c r="U61" i="3"/>
  <c r="G59" i="3"/>
  <c r="I59" i="3" s="1"/>
  <c r="U59" i="3"/>
  <c r="G44" i="3"/>
  <c r="I44" i="3" s="1"/>
  <c r="U44" i="3"/>
  <c r="G66" i="3"/>
  <c r="I66" i="3" s="1"/>
  <c r="U66" i="3"/>
  <c r="G38" i="3"/>
  <c r="I38" i="3" s="1"/>
  <c r="K38" i="3" s="1"/>
  <c r="U38" i="3"/>
  <c r="G60" i="3"/>
  <c r="I60" i="3" s="1"/>
  <c r="U60" i="3"/>
  <c r="G43" i="3"/>
  <c r="I43" i="3" s="1"/>
  <c r="U43" i="3"/>
  <c r="G47" i="3"/>
  <c r="I47" i="3" s="1"/>
  <c r="U47" i="3"/>
  <c r="G35" i="3"/>
  <c r="I35" i="3" s="1"/>
  <c r="K35" i="3" s="1"/>
  <c r="U35" i="3"/>
  <c r="G64" i="3"/>
  <c r="I64" i="3" s="1"/>
  <c r="U64" i="3"/>
  <c r="G57" i="3"/>
  <c r="I57" i="3" s="1"/>
  <c r="U57" i="3"/>
  <c r="G67" i="3"/>
  <c r="I67" i="3" s="1"/>
  <c r="U67" i="3"/>
  <c r="G39" i="3"/>
  <c r="I39" i="3" s="1"/>
  <c r="U39" i="3"/>
  <c r="G56" i="3"/>
  <c r="I56" i="3" s="1"/>
  <c r="U56" i="3"/>
  <c r="G54" i="3"/>
  <c r="I54" i="3" s="1"/>
  <c r="U54" i="3"/>
  <c r="G42" i="3"/>
  <c r="I42" i="3" s="1"/>
  <c r="U42" i="3"/>
  <c r="G48" i="3"/>
  <c r="I48" i="3" s="1"/>
  <c r="U48" i="3"/>
  <c r="G46" i="3"/>
  <c r="I46" i="3" s="1"/>
  <c r="U46" i="3"/>
  <c r="G50" i="3"/>
  <c r="I50" i="3" s="1"/>
  <c r="U50" i="3"/>
  <c r="N96" i="11"/>
  <c r="L37" i="3"/>
  <c r="M37" i="3" s="1"/>
  <c r="C79" i="3"/>
  <c r="L35" i="3"/>
  <c r="M35" i="3" s="1"/>
  <c r="C77" i="3"/>
  <c r="G33" i="3"/>
  <c r="I33" i="3" s="1"/>
  <c r="K33" i="3" s="1"/>
  <c r="C75" i="3" s="1"/>
  <c r="I34" i="9"/>
  <c r="Q34" i="9" s="1"/>
  <c r="I35" i="9"/>
  <c r="I30" i="9"/>
  <c r="I31" i="9"/>
  <c r="Q31" i="9" s="1"/>
  <c r="I32" i="9"/>
  <c r="Q32" i="9" s="1"/>
  <c r="I33" i="9"/>
  <c r="B96" i="11"/>
  <c r="H14" i="11"/>
  <c r="B101" i="11"/>
  <c r="H19" i="11"/>
  <c r="B99" i="11"/>
  <c r="H17" i="11"/>
  <c r="B95" i="11"/>
  <c r="H13" i="11"/>
  <c r="B93" i="11"/>
  <c r="H11" i="11"/>
  <c r="B98" i="11"/>
  <c r="H16" i="11"/>
  <c r="B97" i="11"/>
  <c r="H15" i="11"/>
  <c r="B102" i="11"/>
  <c r="H20" i="11"/>
  <c r="B100" i="11"/>
  <c r="H18" i="11"/>
  <c r="B91" i="11"/>
  <c r="C91" i="11" s="1"/>
  <c r="B131" i="11" s="1"/>
  <c r="B94" i="11"/>
  <c r="H12" i="11"/>
  <c r="B92" i="11"/>
  <c r="H10" i="11"/>
  <c r="B115" i="11"/>
  <c r="H33" i="11"/>
  <c r="B116" i="11"/>
  <c r="H34" i="11"/>
  <c r="B120" i="11"/>
  <c r="H38" i="11"/>
  <c r="B121" i="11"/>
  <c r="H39" i="11"/>
  <c r="B123" i="11"/>
  <c r="H41" i="11"/>
  <c r="B119" i="11"/>
  <c r="H37" i="11"/>
  <c r="B117" i="11"/>
  <c r="H35" i="11"/>
  <c r="B126" i="11"/>
  <c r="H44" i="11"/>
  <c r="G68" i="3"/>
  <c r="I68" i="3" s="1"/>
  <c r="F120" i="12"/>
  <c r="F128" i="12"/>
  <c r="F136" i="12"/>
  <c r="F130" i="12"/>
  <c r="F133" i="12"/>
  <c r="F126" i="12"/>
  <c r="F119" i="12"/>
  <c r="F121" i="12"/>
  <c r="F129" i="12"/>
  <c r="F137" i="12"/>
  <c r="F122" i="12"/>
  <c r="F138" i="12"/>
  <c r="F124" i="12"/>
  <c r="F140" i="12"/>
  <c r="F125" i="12"/>
  <c r="F118" i="12"/>
  <c r="F134" i="12"/>
  <c r="F127" i="12"/>
  <c r="F135" i="12"/>
  <c r="F123" i="12"/>
  <c r="F131" i="12"/>
  <c r="F139" i="12"/>
  <c r="F132" i="12"/>
  <c r="F117" i="12"/>
  <c r="B118" i="11"/>
  <c r="H36" i="11"/>
  <c r="B125" i="11"/>
  <c r="H43" i="11"/>
  <c r="B122" i="11"/>
  <c r="H40" i="11"/>
  <c r="B124" i="11"/>
  <c r="H42" i="11"/>
  <c r="B108" i="11"/>
  <c r="H26" i="11"/>
  <c r="B106" i="11"/>
  <c r="H24" i="11"/>
  <c r="B104" i="11"/>
  <c r="H22" i="11"/>
  <c r="B113" i="11"/>
  <c r="H31" i="11"/>
  <c r="B110" i="11"/>
  <c r="H28" i="11"/>
  <c r="B111" i="11"/>
  <c r="H29" i="11"/>
  <c r="B105" i="11"/>
  <c r="H23" i="11"/>
  <c r="B107" i="11"/>
  <c r="H25" i="11"/>
  <c r="B103" i="11"/>
  <c r="H21" i="11"/>
  <c r="B114" i="11"/>
  <c r="H32" i="11"/>
  <c r="B112" i="11"/>
  <c r="H30" i="11"/>
  <c r="B109" i="11"/>
  <c r="H27" i="11"/>
  <c r="C56" i="11"/>
  <c r="K34" i="3"/>
  <c r="G11" i="9"/>
  <c r="G18" i="9"/>
  <c r="G10" i="9"/>
  <c r="G16" i="9"/>
  <c r="G9" i="9"/>
  <c r="G14" i="9"/>
  <c r="G17" i="9"/>
  <c r="G13" i="9"/>
  <c r="G12" i="9"/>
  <c r="G15" i="9"/>
  <c r="I21" i="3"/>
  <c r="I17" i="3"/>
  <c r="I20" i="3"/>
  <c r="I19" i="3"/>
  <c r="I15" i="3"/>
  <c r="K15" i="3" s="1"/>
  <c r="L15" i="3" s="1"/>
  <c r="K35" i="9"/>
  <c r="K8" i="9" s="1"/>
  <c r="F144" i="8"/>
  <c r="B145" i="8" s="1"/>
  <c r="I18" i="3"/>
  <c r="I16" i="3"/>
  <c r="K16" i="3" s="1"/>
  <c r="I22" i="3"/>
  <c r="C78" i="3" l="1"/>
  <c r="K9" i="15"/>
  <c r="S37" i="3"/>
  <c r="K8" i="15"/>
  <c r="S36" i="3"/>
  <c r="K7" i="15"/>
  <c r="S35" i="3"/>
  <c r="N97" i="11"/>
  <c r="M91" i="11"/>
  <c r="L38" i="3"/>
  <c r="M38" i="3" s="1"/>
  <c r="C80" i="3"/>
  <c r="L34" i="3"/>
  <c r="M34" i="3" s="1"/>
  <c r="C76" i="3"/>
  <c r="N37" i="3"/>
  <c r="G9" i="15"/>
  <c r="N36" i="3"/>
  <c r="G8" i="15"/>
  <c r="N35" i="3"/>
  <c r="G7" i="15"/>
  <c r="G7" i="9"/>
  <c r="G8" i="9"/>
  <c r="C92" i="11"/>
  <c r="B132" i="11" s="1"/>
  <c r="D151" i="12"/>
  <c r="G117" i="12"/>
  <c r="D152" i="12"/>
  <c r="G118" i="12"/>
  <c r="D155" i="12"/>
  <c r="G121" i="12"/>
  <c r="D166" i="12"/>
  <c r="G132" i="12"/>
  <c r="D159" i="12"/>
  <c r="G125" i="12"/>
  <c r="D153" i="12"/>
  <c r="G119" i="12"/>
  <c r="D173" i="12"/>
  <c r="G139" i="12"/>
  <c r="D167" i="12"/>
  <c r="G133" i="12"/>
  <c r="D174" i="12"/>
  <c r="G140" i="12"/>
  <c r="D165" i="12"/>
  <c r="G131" i="12"/>
  <c r="D158" i="12"/>
  <c r="G124" i="12"/>
  <c r="D164" i="12"/>
  <c r="G130" i="12"/>
  <c r="D169" i="12"/>
  <c r="G135" i="12"/>
  <c r="D156" i="12"/>
  <c r="G122" i="12"/>
  <c r="D170" i="12"/>
  <c r="G136" i="12"/>
  <c r="D157" i="12"/>
  <c r="G123" i="12"/>
  <c r="D171" i="12"/>
  <c r="G137" i="12"/>
  <c r="D160" i="12"/>
  <c r="G126" i="12"/>
  <c r="D172" i="12"/>
  <c r="G138" i="12"/>
  <c r="D161" i="12"/>
  <c r="G127" i="12"/>
  <c r="D162" i="12"/>
  <c r="G128" i="12"/>
  <c r="D168" i="12"/>
  <c r="G134" i="12"/>
  <c r="D163" i="12"/>
  <c r="G129" i="12"/>
  <c r="D154" i="12"/>
  <c r="G120" i="12"/>
  <c r="C57" i="11"/>
  <c r="L33" i="3"/>
  <c r="Q35" i="9"/>
  <c r="Q30" i="9"/>
  <c r="R30" i="9" s="1"/>
  <c r="R31" i="9" s="1"/>
  <c r="R32" i="9" s="1"/>
  <c r="I7" i="9"/>
  <c r="Q33" i="9"/>
  <c r="I8" i="9"/>
  <c r="L16" i="3"/>
  <c r="M15" i="3"/>
  <c r="C145" i="8"/>
  <c r="I23" i="3"/>
  <c r="I25" i="3"/>
  <c r="I24" i="3"/>
  <c r="I26" i="3"/>
  <c r="K6" i="15" l="1"/>
  <c r="S34" i="3"/>
  <c r="K10" i="15"/>
  <c r="S38" i="3"/>
  <c r="N98" i="11"/>
  <c r="M92" i="11"/>
  <c r="D79" i="3"/>
  <c r="C9" i="15"/>
  <c r="D78" i="3"/>
  <c r="C8" i="15"/>
  <c r="D77" i="3"/>
  <c r="C7" i="15"/>
  <c r="Q7" i="9"/>
  <c r="R7" i="9" s="1"/>
  <c r="N38" i="3"/>
  <c r="G10" i="15"/>
  <c r="N34" i="3"/>
  <c r="G6" i="15"/>
  <c r="N15" i="3"/>
  <c r="C93" i="11"/>
  <c r="B133" i="11" s="1"/>
  <c r="I136" i="12"/>
  <c r="F170" i="12"/>
  <c r="I119" i="12"/>
  <c r="F153" i="12"/>
  <c r="F154" i="12"/>
  <c r="I120" i="12"/>
  <c r="I130" i="12"/>
  <c r="F164" i="12"/>
  <c r="F163" i="12"/>
  <c r="I129" i="12"/>
  <c r="F173" i="12"/>
  <c r="I139" i="12"/>
  <c r="I134" i="12"/>
  <c r="F168" i="12"/>
  <c r="F160" i="12"/>
  <c r="I126" i="12"/>
  <c r="F165" i="12"/>
  <c r="I131" i="12"/>
  <c r="F152" i="12"/>
  <c r="I118" i="12"/>
  <c r="I127" i="12"/>
  <c r="F161" i="12"/>
  <c r="I133" i="12"/>
  <c r="F167" i="12"/>
  <c r="F158" i="12"/>
  <c r="I124" i="12"/>
  <c r="I128" i="12"/>
  <c r="F162" i="12"/>
  <c r="F171" i="12"/>
  <c r="I137" i="12"/>
  <c r="I135" i="12"/>
  <c r="F169" i="12"/>
  <c r="I140" i="12"/>
  <c r="F174" i="12"/>
  <c r="F159" i="12"/>
  <c r="I125" i="12"/>
  <c r="I117" i="12"/>
  <c r="F151" i="12"/>
  <c r="I123" i="12"/>
  <c r="F157" i="12"/>
  <c r="F166" i="12"/>
  <c r="I132" i="12"/>
  <c r="F172" i="12"/>
  <c r="I138" i="12"/>
  <c r="F155" i="12"/>
  <c r="I121" i="12"/>
  <c r="F156" i="12"/>
  <c r="I122" i="12"/>
  <c r="M33" i="3"/>
  <c r="S33" i="3" s="1"/>
  <c r="C58" i="11"/>
  <c r="Q8" i="9"/>
  <c r="R33" i="9"/>
  <c r="R34" i="9" s="1"/>
  <c r="R35" i="9" s="1"/>
  <c r="M16" i="3"/>
  <c r="N16" i="3" s="1"/>
  <c r="D145" i="8"/>
  <c r="J39" i="3"/>
  <c r="K39" i="3" s="1"/>
  <c r="J36" i="9"/>
  <c r="I36" i="9" s="1"/>
  <c r="M93" i="11" l="1"/>
  <c r="K5" i="15"/>
  <c r="G5" i="15"/>
  <c r="R8" i="9"/>
  <c r="D80" i="3"/>
  <c r="C10" i="15"/>
  <c r="L39" i="3"/>
  <c r="M39" i="3" s="1"/>
  <c r="C81" i="3"/>
  <c r="C6" i="15"/>
  <c r="D76" i="3"/>
  <c r="N99" i="11"/>
  <c r="C94" i="11"/>
  <c r="B134" i="11" s="1"/>
  <c r="N33" i="3"/>
  <c r="C59" i="11"/>
  <c r="K36" i="9"/>
  <c r="F145" i="8"/>
  <c r="B146" i="8" s="1"/>
  <c r="K11" i="15" l="1"/>
  <c r="S39" i="3"/>
  <c r="N100" i="11"/>
  <c r="M94" i="11"/>
  <c r="D75" i="3"/>
  <c r="C5" i="15"/>
  <c r="N39" i="3"/>
  <c r="G11" i="15"/>
  <c r="C95" i="11"/>
  <c r="B135" i="11" s="1"/>
  <c r="C60" i="11"/>
  <c r="Q36" i="9"/>
  <c r="R36" i="9" s="1"/>
  <c r="C146" i="8"/>
  <c r="N101" i="11" l="1"/>
  <c r="M95" i="11"/>
  <c r="C11" i="15"/>
  <c r="D81" i="3"/>
  <c r="C96" i="11"/>
  <c r="B136" i="11" s="1"/>
  <c r="C61" i="11"/>
  <c r="J40" i="3"/>
  <c r="K40" i="3" s="1"/>
  <c r="J37" i="9"/>
  <c r="I37" i="9" s="1"/>
  <c r="D146" i="8"/>
  <c r="N102" i="11" l="1"/>
  <c r="M96" i="11"/>
  <c r="L40" i="3"/>
  <c r="M40" i="3" s="1"/>
  <c r="C82" i="3"/>
  <c r="C97" i="11"/>
  <c r="B137" i="11" s="1"/>
  <c r="C62" i="11"/>
  <c r="K37" i="9"/>
  <c r="F146" i="8"/>
  <c r="B147" i="8" s="1"/>
  <c r="K12" i="15" l="1"/>
  <c r="S40" i="3"/>
  <c r="N103" i="11"/>
  <c r="M97" i="11"/>
  <c r="G12" i="15"/>
  <c r="C98" i="11"/>
  <c r="B138" i="11" s="1"/>
  <c r="N40" i="3"/>
  <c r="C63" i="11"/>
  <c r="Q37" i="9"/>
  <c r="R37" i="9" s="1"/>
  <c r="C147" i="8"/>
  <c r="N104" i="11" l="1"/>
  <c r="M98" i="11"/>
  <c r="C12" i="15"/>
  <c r="D82" i="3"/>
  <c r="C99" i="11"/>
  <c r="B139" i="11" s="1"/>
  <c r="C64" i="11"/>
  <c r="J38" i="9"/>
  <c r="I38" i="9" s="1"/>
  <c r="J41" i="3"/>
  <c r="K41" i="3" s="1"/>
  <c r="D147" i="8"/>
  <c r="J17" i="3"/>
  <c r="N105" i="11" l="1"/>
  <c r="M99" i="11"/>
  <c r="L41" i="3"/>
  <c r="M41" i="3" s="1"/>
  <c r="C83" i="3"/>
  <c r="C100" i="11"/>
  <c r="B140" i="11" s="1"/>
  <c r="C65" i="11"/>
  <c r="I9" i="9"/>
  <c r="J9" i="9"/>
  <c r="K17" i="3"/>
  <c r="K38" i="9"/>
  <c r="K9" i="9" s="1"/>
  <c r="F147" i="8"/>
  <c r="B148" i="8" s="1"/>
  <c r="K13" i="15" l="1"/>
  <c r="S41" i="3"/>
  <c r="N106" i="11"/>
  <c r="M100" i="11"/>
  <c r="G13" i="15"/>
  <c r="C101" i="11"/>
  <c r="B141" i="11" s="1"/>
  <c r="N41" i="3"/>
  <c r="C66" i="11"/>
  <c r="Q38" i="9"/>
  <c r="R38" i="9" s="1"/>
  <c r="C148" i="8"/>
  <c r="L17" i="3"/>
  <c r="Q9" i="9" s="1"/>
  <c r="R9" i="9" s="1"/>
  <c r="N107" i="11" l="1"/>
  <c r="M101" i="11"/>
  <c r="C13" i="15"/>
  <c r="D83" i="3"/>
  <c r="C102" i="11"/>
  <c r="B142" i="11" s="1"/>
  <c r="C67" i="11"/>
  <c r="M17" i="3"/>
  <c r="J42" i="3"/>
  <c r="K42" i="3" s="1"/>
  <c r="J39" i="9"/>
  <c r="I39" i="9" s="1"/>
  <c r="D148" i="8"/>
  <c r="N108" i="11" l="1"/>
  <c r="M102" i="11"/>
  <c r="L42" i="3"/>
  <c r="M42" i="3" s="1"/>
  <c r="C84" i="3"/>
  <c r="N17" i="3"/>
  <c r="C103" i="11"/>
  <c r="B143" i="11" s="1"/>
  <c r="C68" i="11"/>
  <c r="K39" i="9"/>
  <c r="F148" i="8"/>
  <c r="B149" i="8" s="1"/>
  <c r="K14" i="15" l="1"/>
  <c r="S42" i="3"/>
  <c r="N109" i="11"/>
  <c r="M103" i="11"/>
  <c r="G14" i="15"/>
  <c r="C104" i="11"/>
  <c r="B144" i="11" s="1"/>
  <c r="N42" i="3"/>
  <c r="C69" i="11"/>
  <c r="Q39" i="9"/>
  <c r="R39" i="9" s="1"/>
  <c r="C149" i="8"/>
  <c r="N110" i="11" l="1"/>
  <c r="M104" i="11"/>
  <c r="C14" i="15"/>
  <c r="D84" i="3"/>
  <c r="C105" i="11"/>
  <c r="B145" i="11" s="1"/>
  <c r="C70" i="11"/>
  <c r="J43" i="3"/>
  <c r="K43" i="3" s="1"/>
  <c r="J40" i="9"/>
  <c r="I40" i="9" s="1"/>
  <c r="D149" i="8"/>
  <c r="N111" i="11" l="1"/>
  <c r="M105" i="11"/>
  <c r="L43" i="3"/>
  <c r="M43" i="3" s="1"/>
  <c r="C85" i="3"/>
  <c r="C106" i="11"/>
  <c r="B146" i="11" s="1"/>
  <c r="C71" i="11"/>
  <c r="K40" i="9"/>
  <c r="F149" i="8"/>
  <c r="B150" i="8" s="1"/>
  <c r="K15" i="15" l="1"/>
  <c r="S43" i="3"/>
  <c r="N112" i="11"/>
  <c r="M106" i="11"/>
  <c r="N43" i="3"/>
  <c r="G15" i="15"/>
  <c r="C107" i="11"/>
  <c r="B147" i="11" s="1"/>
  <c r="C72" i="11"/>
  <c r="Q40" i="9"/>
  <c r="R40" i="9" s="1"/>
  <c r="C150" i="8"/>
  <c r="N113" i="11" l="1"/>
  <c r="M107" i="11"/>
  <c r="D85" i="3"/>
  <c r="C15" i="15"/>
  <c r="C108" i="11"/>
  <c r="B148" i="11" s="1"/>
  <c r="C73" i="11"/>
  <c r="J44" i="3"/>
  <c r="K44" i="3" s="1"/>
  <c r="J41" i="9"/>
  <c r="I41" i="9" s="1"/>
  <c r="D150" i="8"/>
  <c r="J18" i="3"/>
  <c r="N114" i="11" l="1"/>
  <c r="M108" i="11"/>
  <c r="L44" i="3"/>
  <c r="M44" i="3" s="1"/>
  <c r="S44" i="3" s="1"/>
  <c r="C86" i="3"/>
  <c r="C109" i="11"/>
  <c r="B149" i="11" s="1"/>
  <c r="C74" i="11"/>
  <c r="I10" i="9"/>
  <c r="J10" i="9"/>
  <c r="K18" i="3"/>
  <c r="K41" i="9"/>
  <c r="F150" i="8"/>
  <c r="N115" i="11" l="1"/>
  <c r="M109" i="11"/>
  <c r="K74" i="9"/>
  <c r="K16" i="15"/>
  <c r="G16" i="15"/>
  <c r="G46" i="15" s="1"/>
  <c r="K46" i="15"/>
  <c r="C110" i="11"/>
  <c r="B150" i="11" s="1"/>
  <c r="N44" i="3"/>
  <c r="C75" i="11"/>
  <c r="Q41" i="9"/>
  <c r="R41" i="9" s="1"/>
  <c r="K10" i="9"/>
  <c r="B151" i="8"/>
  <c r="C151" i="8" s="1"/>
  <c r="L18" i="3"/>
  <c r="N116" i="11" l="1"/>
  <c r="M110" i="11"/>
  <c r="L74" i="9"/>
  <c r="D86" i="3"/>
  <c r="C16" i="15"/>
  <c r="C47" i="15" s="1"/>
  <c r="M74" i="9"/>
  <c r="Q10" i="9"/>
  <c r="R10" i="9" s="1"/>
  <c r="C111" i="11"/>
  <c r="B151" i="11" s="1"/>
  <c r="C76" i="11"/>
  <c r="M18" i="3"/>
  <c r="F28" i="14" s="1"/>
  <c r="J45" i="3"/>
  <c r="K45" i="3" s="1"/>
  <c r="J42" i="9"/>
  <c r="I42" i="9" s="1"/>
  <c r="D151" i="8"/>
  <c r="N117" i="11" l="1"/>
  <c r="M111" i="11"/>
  <c r="L45" i="3"/>
  <c r="M45" i="3" s="1"/>
  <c r="C87" i="3"/>
  <c r="F30" i="14"/>
  <c r="C112" i="11"/>
  <c r="B152" i="11" s="1"/>
  <c r="N18" i="3"/>
  <c r="C77" i="11"/>
  <c r="F151" i="8"/>
  <c r="B152" i="8" s="1"/>
  <c r="C152" i="8" s="1"/>
  <c r="K42" i="9"/>
  <c r="K17" i="15" l="1"/>
  <c r="S45" i="3"/>
  <c r="N118" i="11"/>
  <c r="M112" i="11"/>
  <c r="G17" i="15"/>
  <c r="C113" i="11"/>
  <c r="B153" i="11" s="1"/>
  <c r="N45" i="3"/>
  <c r="C78" i="11"/>
  <c r="Q42" i="9"/>
  <c r="R42" i="9" s="1"/>
  <c r="J46" i="3"/>
  <c r="K46" i="3" s="1"/>
  <c r="J43" i="9"/>
  <c r="I43" i="9" s="1"/>
  <c r="D152" i="8"/>
  <c r="N119" i="11" l="1"/>
  <c r="M113" i="11"/>
  <c r="L46" i="3"/>
  <c r="M46" i="3" s="1"/>
  <c r="C88" i="3"/>
  <c r="D87" i="3"/>
  <c r="C17" i="15"/>
  <c r="C114" i="11"/>
  <c r="B154" i="11" s="1"/>
  <c r="C79" i="11"/>
  <c r="F152" i="8"/>
  <c r="B153" i="8" s="1"/>
  <c r="K43" i="9"/>
  <c r="K18" i="15" l="1"/>
  <c r="S46" i="3"/>
  <c r="N120" i="11"/>
  <c r="M114" i="11"/>
  <c r="G18" i="15"/>
  <c r="C115" i="11"/>
  <c r="B155" i="11" s="1"/>
  <c r="N46" i="3"/>
  <c r="C80" i="11"/>
  <c r="Q43" i="9"/>
  <c r="R43" i="9" s="1"/>
  <c r="C153" i="8"/>
  <c r="N121" i="11" l="1"/>
  <c r="M115" i="11"/>
  <c r="D88" i="3"/>
  <c r="C18" i="15"/>
  <c r="C116" i="11"/>
  <c r="B156" i="11" s="1"/>
  <c r="C81" i="11"/>
  <c r="J47" i="3"/>
  <c r="K47" i="3" s="1"/>
  <c r="J44" i="9"/>
  <c r="I44" i="9" s="1"/>
  <c r="D153" i="8"/>
  <c r="J19" i="3"/>
  <c r="N122" i="11" l="1"/>
  <c r="M116" i="11"/>
  <c r="L47" i="3"/>
  <c r="M47" i="3" s="1"/>
  <c r="C89" i="3"/>
  <c r="C117" i="11"/>
  <c r="B157" i="11" s="1"/>
  <c r="C82" i="11"/>
  <c r="I11" i="9"/>
  <c r="J11" i="9"/>
  <c r="K19" i="3"/>
  <c r="K44" i="9"/>
  <c r="F153" i="8"/>
  <c r="B154" i="8" s="1"/>
  <c r="C154" i="8" s="1"/>
  <c r="K19" i="15" l="1"/>
  <c r="S47" i="3"/>
  <c r="N123" i="11"/>
  <c r="M117" i="11"/>
  <c r="G19" i="15"/>
  <c r="C118" i="11"/>
  <c r="B158" i="11" s="1"/>
  <c r="N47" i="3"/>
  <c r="C83" i="11"/>
  <c r="Q44" i="9"/>
  <c r="R44" i="9" s="1"/>
  <c r="K11" i="9"/>
  <c r="D154" i="8"/>
  <c r="J48" i="3"/>
  <c r="K48" i="3" s="1"/>
  <c r="J45" i="9"/>
  <c r="I45" i="9" s="1"/>
  <c r="L19" i="3"/>
  <c r="N124" i="11" l="1"/>
  <c r="M118" i="11"/>
  <c r="C19" i="15"/>
  <c r="D89" i="3"/>
  <c r="L48" i="3"/>
  <c r="M48" i="3" s="1"/>
  <c r="C90" i="3"/>
  <c r="Q11" i="9"/>
  <c r="R11" i="9" s="1"/>
  <c r="C119" i="11"/>
  <c r="B159" i="11" s="1"/>
  <c r="C84" i="11"/>
  <c r="M19" i="3"/>
  <c r="F154" i="8"/>
  <c r="B155" i="8" s="1"/>
  <c r="K45" i="9"/>
  <c r="K20" i="15" l="1"/>
  <c r="S48" i="3"/>
  <c r="N125" i="11"/>
  <c r="M119" i="11"/>
  <c r="N19" i="3"/>
  <c r="G20" i="15"/>
  <c r="C120" i="11"/>
  <c r="B160" i="11" s="1"/>
  <c r="N48" i="3"/>
  <c r="C85" i="11"/>
  <c r="Q45" i="9"/>
  <c r="R45" i="9" s="1"/>
  <c r="C155" i="8"/>
  <c r="N126" i="11" l="1"/>
  <c r="M120" i="11"/>
  <c r="C20" i="15"/>
  <c r="D90" i="3"/>
  <c r="C121" i="11"/>
  <c r="B161" i="11" s="1"/>
  <c r="D155" i="8"/>
  <c r="J46" i="9"/>
  <c r="I46" i="9" s="1"/>
  <c r="J49" i="3"/>
  <c r="K49" i="3" s="1"/>
  <c r="M121" i="11" l="1"/>
  <c r="L49" i="3"/>
  <c r="M49" i="3" s="1"/>
  <c r="C91" i="3"/>
  <c r="C122" i="11"/>
  <c r="B162" i="11" s="1"/>
  <c r="K46" i="9"/>
  <c r="F155" i="8"/>
  <c r="B156" i="8" s="1"/>
  <c r="K21" i="15" l="1"/>
  <c r="S49" i="3"/>
  <c r="M122" i="11"/>
  <c r="G21" i="15"/>
  <c r="C123" i="11"/>
  <c r="B163" i="11" s="1"/>
  <c r="N49" i="3"/>
  <c r="Q46" i="9"/>
  <c r="R46" i="9" s="1"/>
  <c r="C156" i="8"/>
  <c r="M123" i="11" l="1"/>
  <c r="C21" i="15"/>
  <c r="D91" i="3"/>
  <c r="C124" i="11"/>
  <c r="B164" i="11" s="1"/>
  <c r="J50" i="3"/>
  <c r="K50" i="3" s="1"/>
  <c r="C92" i="3" s="1"/>
  <c r="J47" i="9"/>
  <c r="I47" i="9" s="1"/>
  <c r="D156" i="8"/>
  <c r="J20" i="3"/>
  <c r="M124" i="11" l="1"/>
  <c r="C125" i="11"/>
  <c r="B165" i="11" s="1"/>
  <c r="I12" i="9"/>
  <c r="J12" i="9"/>
  <c r="L50" i="3"/>
  <c r="K20" i="3"/>
  <c r="K47" i="9"/>
  <c r="K12" i="9" s="1"/>
  <c r="F156" i="8"/>
  <c r="B157" i="8" s="1"/>
  <c r="M125" i="11" l="1"/>
  <c r="C126" i="11"/>
  <c r="B166" i="11" s="1"/>
  <c r="M50" i="3"/>
  <c r="Q47" i="9"/>
  <c r="R47" i="9" s="1"/>
  <c r="C157" i="8"/>
  <c r="L20" i="3"/>
  <c r="Q12" i="9" s="1"/>
  <c r="R12" i="9" s="1"/>
  <c r="K22" i="15" l="1"/>
  <c r="S50" i="3"/>
  <c r="M126" i="11"/>
  <c r="N50" i="3"/>
  <c r="G22" i="15"/>
  <c r="M20" i="3"/>
  <c r="J51" i="3"/>
  <c r="K51" i="3" s="1"/>
  <c r="J48" i="9"/>
  <c r="I48" i="9" s="1"/>
  <c r="D157" i="8"/>
  <c r="L51" i="3" l="1"/>
  <c r="M51" i="3" s="1"/>
  <c r="C93" i="3"/>
  <c r="C22" i="15"/>
  <c r="D92" i="3"/>
  <c r="N20" i="3"/>
  <c r="K48" i="9"/>
  <c r="F157" i="8"/>
  <c r="B158" i="8" s="1"/>
  <c r="K23" i="15" l="1"/>
  <c r="S51" i="3"/>
  <c r="N51" i="3"/>
  <c r="G23" i="15"/>
  <c r="Q48" i="9"/>
  <c r="R48" i="9" s="1"/>
  <c r="C158" i="8"/>
  <c r="D93" i="3" l="1"/>
  <c r="C23" i="15"/>
  <c r="J52" i="3"/>
  <c r="K52" i="3" s="1"/>
  <c r="J49" i="9"/>
  <c r="I49" i="9" s="1"/>
  <c r="D158" i="8"/>
  <c r="L52" i="3" l="1"/>
  <c r="M52" i="3" s="1"/>
  <c r="C94" i="3"/>
  <c r="K49" i="9"/>
  <c r="F158" i="8"/>
  <c r="B159" i="8" s="1"/>
  <c r="K24" i="15" l="1"/>
  <c r="S52" i="3"/>
  <c r="N52" i="3"/>
  <c r="G24" i="15"/>
  <c r="Q49" i="9"/>
  <c r="R49" i="9" s="1"/>
  <c r="C159" i="8"/>
  <c r="D94" i="3" l="1"/>
  <c r="C24" i="15"/>
  <c r="J53" i="3"/>
  <c r="K53" i="3" s="1"/>
  <c r="C95" i="3" s="1"/>
  <c r="J50" i="9"/>
  <c r="I50" i="9" s="1"/>
  <c r="D159" i="8"/>
  <c r="J21" i="3"/>
  <c r="I13" i="9" l="1"/>
  <c r="J13" i="9"/>
  <c r="L53" i="3"/>
  <c r="K21" i="3"/>
  <c r="K50" i="9"/>
  <c r="F159" i="8"/>
  <c r="B160" i="8" s="1"/>
  <c r="M53" i="3" l="1"/>
  <c r="Q50" i="9"/>
  <c r="R50" i="9" s="1"/>
  <c r="K13" i="9"/>
  <c r="L21" i="3"/>
  <c r="Q13" i="9" s="1"/>
  <c r="R13" i="9" s="1"/>
  <c r="C160" i="8"/>
  <c r="K25" i="15" l="1"/>
  <c r="S53" i="3"/>
  <c r="N53" i="3"/>
  <c r="G25" i="15"/>
  <c r="J54" i="3"/>
  <c r="K54" i="3" s="1"/>
  <c r="J51" i="9"/>
  <c r="I51" i="9" s="1"/>
  <c r="D160" i="8"/>
  <c r="M21" i="3"/>
  <c r="L54" i="3" l="1"/>
  <c r="C96" i="3"/>
  <c r="D95" i="3"/>
  <c r="C25" i="15"/>
  <c r="N21" i="3"/>
  <c r="M54" i="3"/>
  <c r="K51" i="9"/>
  <c r="F160" i="8"/>
  <c r="B161" i="8" s="1"/>
  <c r="K26" i="15" l="1"/>
  <c r="S54" i="3"/>
  <c r="N54" i="3"/>
  <c r="G26" i="15"/>
  <c r="Q51" i="9"/>
  <c r="R51" i="9" s="1"/>
  <c r="C161" i="8"/>
  <c r="D96" i="3" l="1"/>
  <c r="C26" i="15"/>
  <c r="J55" i="3"/>
  <c r="K55" i="3" s="1"/>
  <c r="J52" i="9"/>
  <c r="I52" i="9" s="1"/>
  <c r="D161" i="8"/>
  <c r="L55" i="3" l="1"/>
  <c r="M55" i="3" s="1"/>
  <c r="C97" i="3"/>
  <c r="K52" i="9"/>
  <c r="F161" i="8"/>
  <c r="B162" i="8" s="1"/>
  <c r="K27" i="15" l="1"/>
  <c r="S55" i="3"/>
  <c r="N55" i="3"/>
  <c r="G27" i="15"/>
  <c r="Q52" i="9"/>
  <c r="R52" i="9" s="1"/>
  <c r="C162" i="8"/>
  <c r="C27" i="15" l="1"/>
  <c r="D97" i="3"/>
  <c r="J56" i="3"/>
  <c r="K56" i="3" s="1"/>
  <c r="C98" i="3" s="1"/>
  <c r="J53" i="9"/>
  <c r="I53" i="9" s="1"/>
  <c r="D162" i="8"/>
  <c r="J22" i="3"/>
  <c r="I14" i="9" l="1"/>
  <c r="J14" i="9"/>
  <c r="L56" i="3"/>
  <c r="K22" i="3"/>
  <c r="K53" i="9"/>
  <c r="K14" i="9" s="1"/>
  <c r="F162" i="8"/>
  <c r="M56" i="3" l="1"/>
  <c r="S56" i="3" s="1"/>
  <c r="Q53" i="9"/>
  <c r="R53" i="9" s="1"/>
  <c r="M75" i="9" s="1"/>
  <c r="B163" i="8"/>
  <c r="L22" i="3"/>
  <c r="Q14" i="9" s="1"/>
  <c r="R14" i="9" s="1"/>
  <c r="K75" i="9" l="1"/>
  <c r="K28" i="15"/>
  <c r="G28" i="15"/>
  <c r="G47" i="15" s="1"/>
  <c r="K47" i="15"/>
  <c r="M22" i="3"/>
  <c r="F49" i="14" s="1"/>
  <c r="D56" i="14" s="1"/>
  <c r="N56" i="3"/>
  <c r="C163" i="8"/>
  <c r="L75" i="9" l="1"/>
  <c r="C28" i="15"/>
  <c r="C48" i="15" s="1"/>
  <c r="D98" i="3"/>
  <c r="F51" i="14"/>
  <c r="F56" i="14" s="1"/>
  <c r="N22" i="3"/>
  <c r="J54" i="9"/>
  <c r="I54" i="9" s="1"/>
  <c r="J57" i="3"/>
  <c r="K57" i="3" s="1"/>
  <c r="D163" i="8"/>
  <c r="L57" i="3" l="1"/>
  <c r="M57" i="3" s="1"/>
  <c r="C99" i="3"/>
  <c r="K54" i="9"/>
  <c r="F163" i="8"/>
  <c r="B164" i="8" s="1"/>
  <c r="K29" i="15" l="1"/>
  <c r="S57" i="3"/>
  <c r="G29" i="15"/>
  <c r="N57" i="3"/>
  <c r="Q54" i="9"/>
  <c r="R54" i="9" s="1"/>
  <c r="C164" i="8"/>
  <c r="C29" i="15" l="1"/>
  <c r="D99" i="3"/>
  <c r="J58" i="3"/>
  <c r="K58" i="3" s="1"/>
  <c r="J55" i="9"/>
  <c r="I55" i="9" s="1"/>
  <c r="D164" i="8"/>
  <c r="L58" i="3" l="1"/>
  <c r="M58" i="3" s="1"/>
  <c r="C100" i="3"/>
  <c r="K55" i="9"/>
  <c r="F164" i="8"/>
  <c r="B165" i="8" s="1"/>
  <c r="K30" i="15" l="1"/>
  <c r="S58" i="3"/>
  <c r="G30" i="15"/>
  <c r="N58" i="3"/>
  <c r="Q55" i="9"/>
  <c r="R55" i="9" s="1"/>
  <c r="C165" i="8"/>
  <c r="C30" i="15" l="1"/>
  <c r="D100" i="3"/>
  <c r="J59" i="3"/>
  <c r="K59" i="3" s="1"/>
  <c r="J56" i="9"/>
  <c r="I56" i="9" s="1"/>
  <c r="D165" i="8"/>
  <c r="J23" i="3"/>
  <c r="L59" i="3" l="1"/>
  <c r="M59" i="3" s="1"/>
  <c r="C101" i="3"/>
  <c r="I15" i="9"/>
  <c r="J15" i="9"/>
  <c r="K23" i="3"/>
  <c r="K56" i="9"/>
  <c r="F165" i="8"/>
  <c r="B166" i="8" s="1"/>
  <c r="K31" i="15" l="1"/>
  <c r="S59" i="3"/>
  <c r="G31" i="15"/>
  <c r="N59" i="3"/>
  <c r="Q56" i="9"/>
  <c r="R56" i="9" s="1"/>
  <c r="K15" i="9"/>
  <c r="C166" i="8"/>
  <c r="L23" i="3"/>
  <c r="Q15" i="9" s="1"/>
  <c r="R15" i="9" s="1"/>
  <c r="D101" i="3" l="1"/>
  <c r="C31" i="15"/>
  <c r="M23" i="3"/>
  <c r="J60" i="3"/>
  <c r="K60" i="3" s="1"/>
  <c r="J57" i="9"/>
  <c r="I57" i="9" s="1"/>
  <c r="D166" i="8"/>
  <c r="L60" i="3" l="1"/>
  <c r="M60" i="3" s="1"/>
  <c r="C102" i="3"/>
  <c r="N23" i="3"/>
  <c r="K57" i="9"/>
  <c r="F166" i="8"/>
  <c r="B167" i="8" s="1"/>
  <c r="K32" i="15" l="1"/>
  <c r="S60" i="3"/>
  <c r="G32" i="15"/>
  <c r="N60" i="3"/>
  <c r="Q57" i="9"/>
  <c r="R57" i="9" s="1"/>
  <c r="C167" i="8"/>
  <c r="D102" i="3" l="1"/>
  <c r="C32" i="15"/>
  <c r="J61" i="3"/>
  <c r="K61" i="3" s="1"/>
  <c r="J58" i="9"/>
  <c r="I58" i="9" s="1"/>
  <c r="D167" i="8"/>
  <c r="L61" i="3" l="1"/>
  <c r="M61" i="3" s="1"/>
  <c r="C103" i="3"/>
  <c r="K58" i="9"/>
  <c r="F167" i="8"/>
  <c r="B168" i="8" s="1"/>
  <c r="K33" i="15" l="1"/>
  <c r="S61" i="3"/>
  <c r="G33" i="15"/>
  <c r="N61" i="3"/>
  <c r="Q58" i="9"/>
  <c r="R58" i="9" s="1"/>
  <c r="C168" i="8"/>
  <c r="D103" i="3" l="1"/>
  <c r="C33" i="15"/>
  <c r="J62" i="3"/>
  <c r="K62" i="3" s="1"/>
  <c r="J59" i="9"/>
  <c r="I59" i="9" s="1"/>
  <c r="D168" i="8"/>
  <c r="J24" i="3"/>
  <c r="L62" i="3" l="1"/>
  <c r="C104" i="3"/>
  <c r="M62" i="3"/>
  <c r="I16" i="9"/>
  <c r="J16" i="9"/>
  <c r="K24" i="3"/>
  <c r="K59" i="9"/>
  <c r="K16" i="9" s="1"/>
  <c r="F168" i="8"/>
  <c r="B169" i="8" s="1"/>
  <c r="C169" i="8" s="1"/>
  <c r="K34" i="15" l="1"/>
  <c r="S62" i="3"/>
  <c r="N62" i="3"/>
  <c r="G34" i="15"/>
  <c r="Q59" i="9"/>
  <c r="R59" i="9" s="1"/>
  <c r="J63" i="3"/>
  <c r="K63" i="3" s="1"/>
  <c r="J60" i="9"/>
  <c r="I60" i="9" s="1"/>
  <c r="D169" i="8"/>
  <c r="L24" i="3"/>
  <c r="Q16" i="9" s="1"/>
  <c r="R16" i="9" s="1"/>
  <c r="L63" i="3" l="1"/>
  <c r="C105" i="3"/>
  <c r="D104" i="3"/>
  <c r="C34" i="15"/>
  <c r="M63" i="3"/>
  <c r="M24" i="3"/>
  <c r="F169" i="8"/>
  <c r="B170" i="8" s="1"/>
  <c r="K60" i="9"/>
  <c r="K35" i="15" l="1"/>
  <c r="S63" i="3"/>
  <c r="N24" i="3"/>
  <c r="N63" i="3"/>
  <c r="G35" i="15"/>
  <c r="Q60" i="9"/>
  <c r="R60" i="9" s="1"/>
  <c r="C170" i="8"/>
  <c r="C35" i="15" l="1"/>
  <c r="D105" i="3"/>
  <c r="J64" i="3"/>
  <c r="K64" i="3" s="1"/>
  <c r="J61" i="9"/>
  <c r="I61" i="9" s="1"/>
  <c r="D170" i="8"/>
  <c r="L64" i="3" l="1"/>
  <c r="M64" i="3" s="1"/>
  <c r="C106" i="3"/>
  <c r="K61" i="9"/>
  <c r="F170" i="8"/>
  <c r="B171" i="8" s="1"/>
  <c r="K36" i="15" l="1"/>
  <c r="S64" i="3"/>
  <c r="N64" i="3"/>
  <c r="G36" i="15"/>
  <c r="Q61" i="9"/>
  <c r="R61" i="9" s="1"/>
  <c r="C171" i="8"/>
  <c r="C36" i="15" l="1"/>
  <c r="D106" i="3"/>
  <c r="J62" i="9"/>
  <c r="I62" i="9" s="1"/>
  <c r="J65" i="3"/>
  <c r="K65" i="3" s="1"/>
  <c r="C107" i="3" s="1"/>
  <c r="D171" i="8"/>
  <c r="J25" i="3"/>
  <c r="I17" i="9" l="1"/>
  <c r="J17" i="9"/>
  <c r="K25" i="3"/>
  <c r="K62" i="9"/>
  <c r="K17" i="9" s="1"/>
  <c r="F171" i="8"/>
  <c r="B172" i="8" s="1"/>
  <c r="L65" i="3"/>
  <c r="M65" i="3" l="1"/>
  <c r="Q62" i="9"/>
  <c r="R62" i="9" s="1"/>
  <c r="C172" i="8"/>
  <c r="L25" i="3"/>
  <c r="Q17" i="9" s="1"/>
  <c r="R17" i="9" s="1"/>
  <c r="K37" i="15" l="1"/>
  <c r="S65" i="3"/>
  <c r="N65" i="3"/>
  <c r="G37" i="15"/>
  <c r="M25" i="3"/>
  <c r="J66" i="3"/>
  <c r="K66" i="3" s="1"/>
  <c r="J63" i="9"/>
  <c r="I63" i="9" s="1"/>
  <c r="D172" i="8"/>
  <c r="L66" i="3" l="1"/>
  <c r="C108" i="3"/>
  <c r="C37" i="15"/>
  <c r="D107" i="3"/>
  <c r="N25" i="3"/>
  <c r="M66" i="3"/>
  <c r="K63" i="9"/>
  <c r="F172" i="8"/>
  <c r="B173" i="8" s="1"/>
  <c r="K38" i="15" l="1"/>
  <c r="S66" i="3"/>
  <c r="N66" i="3"/>
  <c r="G38" i="15"/>
  <c r="Q63" i="9"/>
  <c r="R63" i="9" s="1"/>
  <c r="C173" i="8"/>
  <c r="C38" i="15" l="1"/>
  <c r="D108" i="3"/>
  <c r="J67" i="3"/>
  <c r="K67" i="3" s="1"/>
  <c r="J64" i="9"/>
  <c r="I64" i="9" s="1"/>
  <c r="D173" i="8"/>
  <c r="L67" i="3" l="1"/>
  <c r="M67" i="3" s="1"/>
  <c r="C109" i="3"/>
  <c r="K64" i="9"/>
  <c r="F173" i="8"/>
  <c r="B174" i="8" s="1"/>
  <c r="K39" i="15" l="1"/>
  <c r="S67" i="3"/>
  <c r="N67" i="3"/>
  <c r="G39" i="15"/>
  <c r="Q64" i="9"/>
  <c r="R64" i="9" s="1"/>
  <c r="C174" i="8"/>
  <c r="D109" i="3" l="1"/>
  <c r="C39" i="15"/>
  <c r="J68" i="3"/>
  <c r="K68" i="3" s="1"/>
  <c r="J65" i="9"/>
  <c r="I65" i="9" s="1"/>
  <c r="D174" i="8"/>
  <c r="J26" i="3"/>
  <c r="L68" i="3" l="1"/>
  <c r="M68" i="3" s="1"/>
  <c r="S68" i="3" s="1"/>
  <c r="C110" i="3"/>
  <c r="I18" i="9"/>
  <c r="J18" i="9"/>
  <c r="K26" i="3"/>
  <c r="K65" i="9"/>
  <c r="F174" i="8"/>
  <c r="K76" i="9" l="1"/>
  <c r="K40" i="15"/>
  <c r="K48" i="15" s="1"/>
  <c r="G40" i="15"/>
  <c r="G48" i="15" s="1"/>
  <c r="N68" i="3"/>
  <c r="Q65" i="9"/>
  <c r="R65" i="9" s="1"/>
  <c r="M76" i="9" s="1"/>
  <c r="K18" i="9"/>
  <c r="B175" i="8"/>
  <c r="C175" i="8" s="1"/>
  <c r="L26" i="3"/>
  <c r="Q18" i="9" s="1"/>
  <c r="R18" i="9" s="1"/>
  <c r="D110" i="3" l="1"/>
  <c r="C40" i="15"/>
  <c r="C49" i="15" s="1"/>
  <c r="L76" i="9"/>
  <c r="D175" i="8"/>
  <c r="J117" i="12"/>
  <c r="M26" i="3"/>
  <c r="F71" i="14" s="1"/>
  <c r="F73" i="14" l="1"/>
  <c r="F78" i="14" s="1"/>
  <c r="I151" i="12"/>
  <c r="H151" i="12" s="1"/>
  <c r="K117" i="12"/>
  <c r="L117" i="12" s="1"/>
  <c r="M117" i="12" s="1"/>
  <c r="F175" i="8"/>
  <c r="B176" i="8" s="1"/>
  <c r="C176" i="8" s="1"/>
  <c r="J151" i="12"/>
  <c r="N26" i="3"/>
  <c r="D176" i="8" l="1"/>
  <c r="J118" i="12"/>
  <c r="P151" i="12"/>
  <c r="Q151" i="12" s="1"/>
  <c r="F176" i="8" l="1"/>
  <c r="B177" i="8" s="1"/>
  <c r="C177" i="8" s="1"/>
  <c r="J152" i="12"/>
  <c r="I152" i="12"/>
  <c r="H152" i="12" s="1"/>
  <c r="P152" i="12" s="1"/>
  <c r="Q152" i="12" s="1"/>
  <c r="K118" i="12"/>
  <c r="L118" i="12" s="1"/>
  <c r="M118" i="12" s="1"/>
  <c r="D177" i="8" l="1"/>
  <c r="J119" i="12"/>
  <c r="F177" i="8" l="1"/>
  <c r="B178" i="8" s="1"/>
  <c r="C178" i="8" s="1"/>
  <c r="J153" i="12"/>
  <c r="I153" i="12"/>
  <c r="H153" i="12" s="1"/>
  <c r="P153" i="12" s="1"/>
  <c r="Q153" i="12" s="1"/>
  <c r="K119" i="12"/>
  <c r="L119" i="12" s="1"/>
  <c r="M119" i="12" s="1"/>
  <c r="D178" i="8" l="1"/>
  <c r="J120" i="12"/>
  <c r="F178" i="8" l="1"/>
  <c r="B179" i="8" s="1"/>
  <c r="C179" i="8" s="1"/>
  <c r="J154" i="12"/>
  <c r="I154" i="12"/>
  <c r="H154" i="12" s="1"/>
  <c r="K120" i="12"/>
  <c r="L120" i="12" s="1"/>
  <c r="M120" i="12" s="1"/>
  <c r="D179" i="8" l="1"/>
  <c r="J121" i="12"/>
  <c r="P154" i="12"/>
  <c r="Q154" i="12" s="1"/>
  <c r="I155" i="12" l="1"/>
  <c r="H155" i="12" s="1"/>
  <c r="K121" i="12"/>
  <c r="L121" i="12" s="1"/>
  <c r="M121" i="12" s="1"/>
  <c r="F179" i="8"/>
  <c r="B180" i="8" s="1"/>
  <c r="C180" i="8" s="1"/>
  <c r="J155" i="12"/>
  <c r="P155" i="12" l="1"/>
  <c r="Q155" i="12" s="1"/>
  <c r="D180" i="8"/>
  <c r="J122" i="12"/>
  <c r="I156" i="12" l="1"/>
  <c r="H156" i="12" s="1"/>
  <c r="K122" i="12"/>
  <c r="L122" i="12" s="1"/>
  <c r="M122" i="12" s="1"/>
  <c r="F180" i="8"/>
  <c r="B181" i="8" s="1"/>
  <c r="C181" i="8" s="1"/>
  <c r="J156" i="12"/>
  <c r="P156" i="12" l="1"/>
  <c r="Q156" i="12" s="1"/>
  <c r="D181" i="8"/>
  <c r="J123" i="12"/>
  <c r="I157" i="12" l="1"/>
  <c r="H157" i="12" s="1"/>
  <c r="K123" i="12"/>
  <c r="L123" i="12" s="1"/>
  <c r="M123" i="12" s="1"/>
  <c r="F181" i="8"/>
  <c r="B182" i="8" s="1"/>
  <c r="C182" i="8" s="1"/>
  <c r="J157" i="12"/>
  <c r="D182" i="8" l="1"/>
  <c r="J124" i="12"/>
  <c r="P157" i="12"/>
  <c r="Q157" i="12" s="1"/>
  <c r="I158" i="12" l="1"/>
  <c r="H158" i="12" s="1"/>
  <c r="K124" i="12"/>
  <c r="L124" i="12" s="1"/>
  <c r="M124" i="12" s="1"/>
  <c r="F182" i="8"/>
  <c r="B183" i="8" s="1"/>
  <c r="C183" i="8" s="1"/>
  <c r="J158" i="12"/>
  <c r="P158" i="12" l="1"/>
  <c r="Q158" i="12" s="1"/>
  <c r="D183" i="8"/>
  <c r="J125" i="12"/>
  <c r="I159" i="12" l="1"/>
  <c r="H159" i="12" s="1"/>
  <c r="K125" i="12"/>
  <c r="L125" i="12" s="1"/>
  <c r="M125" i="12" s="1"/>
  <c r="F183" i="8"/>
  <c r="B184" i="8" s="1"/>
  <c r="C184" i="8" s="1"/>
  <c r="J159" i="12"/>
  <c r="D184" i="8" l="1"/>
  <c r="J126" i="12"/>
  <c r="P159" i="12"/>
  <c r="Q159" i="12" s="1"/>
  <c r="F184" i="8" l="1"/>
  <c r="B185" i="8" s="1"/>
  <c r="C185" i="8" s="1"/>
  <c r="J160" i="12"/>
  <c r="I160" i="12"/>
  <c r="H160" i="12" s="1"/>
  <c r="P160" i="12" s="1"/>
  <c r="Q160" i="12" s="1"/>
  <c r="K126" i="12"/>
  <c r="L126" i="12" s="1"/>
  <c r="M126" i="12" s="1"/>
  <c r="D185" i="8" l="1"/>
  <c r="J127" i="12"/>
  <c r="F185" i="8" l="1"/>
  <c r="B186" i="8" s="1"/>
  <c r="C186" i="8" s="1"/>
  <c r="J161" i="12"/>
  <c r="I161" i="12"/>
  <c r="H161" i="12" s="1"/>
  <c r="P161" i="12" s="1"/>
  <c r="Q161" i="12" s="1"/>
  <c r="K127" i="12"/>
  <c r="L127" i="12" s="1"/>
  <c r="M127" i="12" s="1"/>
  <c r="D186" i="8" l="1"/>
  <c r="J128" i="12"/>
  <c r="I162" i="12" l="1"/>
  <c r="H162" i="12" s="1"/>
  <c r="K128" i="12"/>
  <c r="L128" i="12" s="1"/>
  <c r="M128" i="12" s="1"/>
  <c r="F186" i="8"/>
  <c r="B187" i="8" s="1"/>
  <c r="C187" i="8" s="1"/>
  <c r="J162" i="12"/>
  <c r="P162" i="12" l="1"/>
  <c r="Q162" i="12" s="1"/>
  <c r="D187" i="8"/>
  <c r="J129" i="12"/>
  <c r="I163" i="12" l="1"/>
  <c r="H163" i="12" s="1"/>
  <c r="K129" i="12"/>
  <c r="L129" i="12" s="1"/>
  <c r="M129" i="12" s="1"/>
  <c r="F187" i="8"/>
  <c r="B188" i="8" s="1"/>
  <c r="C188" i="8" s="1"/>
  <c r="J163" i="12"/>
  <c r="P163" i="12" l="1"/>
  <c r="Q163" i="12" s="1"/>
  <c r="D188" i="8"/>
  <c r="J130" i="12"/>
  <c r="I164" i="12" l="1"/>
  <c r="H164" i="12" s="1"/>
  <c r="K130" i="12"/>
  <c r="L130" i="12" s="1"/>
  <c r="M130" i="12" s="1"/>
  <c r="F188" i="8"/>
  <c r="B189" i="8" s="1"/>
  <c r="C189" i="8" s="1"/>
  <c r="J164" i="12"/>
  <c r="D189" i="8" l="1"/>
  <c r="J131" i="12"/>
  <c r="P164" i="12"/>
  <c r="Q164" i="12" s="1"/>
  <c r="I165" i="12" l="1"/>
  <c r="H165" i="12" s="1"/>
  <c r="K131" i="12"/>
  <c r="L131" i="12" s="1"/>
  <c r="M131" i="12" s="1"/>
  <c r="F189" i="8"/>
  <c r="B190" i="8" s="1"/>
  <c r="C190" i="8" s="1"/>
  <c r="J165" i="12"/>
  <c r="P165" i="12" l="1"/>
  <c r="Q165" i="12" s="1"/>
  <c r="D190" i="8"/>
  <c r="J132" i="12"/>
  <c r="I166" i="12" l="1"/>
  <c r="H166" i="12" s="1"/>
  <c r="K132" i="12"/>
  <c r="L132" i="12" s="1"/>
  <c r="M132" i="12" s="1"/>
  <c r="F190" i="8"/>
  <c r="B191" i="8" s="1"/>
  <c r="C191" i="8" s="1"/>
  <c r="J166" i="12"/>
  <c r="P166" i="12" l="1"/>
  <c r="Q166" i="12" s="1"/>
  <c r="D191" i="8"/>
  <c r="J133" i="12"/>
  <c r="I167" i="12" l="1"/>
  <c r="H167" i="12" s="1"/>
  <c r="K133" i="12"/>
  <c r="L133" i="12" s="1"/>
  <c r="M133" i="12" s="1"/>
  <c r="F191" i="8"/>
  <c r="B192" i="8" s="1"/>
  <c r="C192" i="8" s="1"/>
  <c r="J167" i="12"/>
  <c r="D192" i="8" l="1"/>
  <c r="J134" i="12"/>
  <c r="P167" i="12"/>
  <c r="Q167" i="12" s="1"/>
  <c r="I168" i="12" l="1"/>
  <c r="H168" i="12" s="1"/>
  <c r="K134" i="12"/>
  <c r="L134" i="12" s="1"/>
  <c r="M134" i="12" s="1"/>
  <c r="F192" i="8"/>
  <c r="B193" i="8" s="1"/>
  <c r="C193" i="8" s="1"/>
  <c r="J168" i="12"/>
  <c r="P168" i="12" l="1"/>
  <c r="Q168" i="12" s="1"/>
  <c r="D193" i="8"/>
  <c r="J135" i="12"/>
  <c r="F193" i="8" l="1"/>
  <c r="B194" i="8" s="1"/>
  <c r="C194" i="8" s="1"/>
  <c r="J169" i="12"/>
  <c r="I169" i="12"/>
  <c r="H169" i="12" s="1"/>
  <c r="P169" i="12" s="1"/>
  <c r="Q169" i="12" s="1"/>
  <c r="K135" i="12"/>
  <c r="L135" i="12" s="1"/>
  <c r="M135" i="12" s="1"/>
  <c r="D194" i="8" l="1"/>
  <c r="J136" i="12"/>
  <c r="F194" i="8" l="1"/>
  <c r="B195" i="8" s="1"/>
  <c r="J170" i="12"/>
  <c r="I170" i="12"/>
  <c r="H170" i="12" s="1"/>
  <c r="P170" i="12" s="1"/>
  <c r="Q170" i="12" s="1"/>
  <c r="K136" i="12"/>
  <c r="L136" i="12" s="1"/>
  <c r="M136" i="12" s="1"/>
  <c r="C195" i="8" l="1"/>
  <c r="D195" i="8" l="1"/>
  <c r="J137" i="12"/>
  <c r="I171" i="12" l="1"/>
  <c r="H171" i="12" s="1"/>
  <c r="K137" i="12"/>
  <c r="L137" i="12" s="1"/>
  <c r="M137" i="12" s="1"/>
  <c r="J171" i="12"/>
  <c r="F195" i="8"/>
  <c r="B196" i="8" s="1"/>
  <c r="C196" i="8" s="1"/>
  <c r="P171" i="12" l="1"/>
  <c r="Q171" i="12" s="1"/>
  <c r="D196" i="8"/>
  <c r="J138" i="12"/>
  <c r="I172" i="12" l="1"/>
  <c r="H172" i="12" s="1"/>
  <c r="K138" i="12"/>
  <c r="L138" i="12" s="1"/>
  <c r="M138" i="12" s="1"/>
  <c r="F196" i="8"/>
  <c r="B197" i="8" s="1"/>
  <c r="C197" i="8" s="1"/>
  <c r="J172" i="12"/>
  <c r="D197" i="8" l="1"/>
  <c r="J139" i="12"/>
  <c r="P172" i="12"/>
  <c r="Q172" i="12" s="1"/>
  <c r="I173" i="12" l="1"/>
  <c r="H173" i="12" s="1"/>
  <c r="K139" i="12"/>
  <c r="L139" i="12" s="1"/>
  <c r="M139" i="12" s="1"/>
  <c r="F197" i="8"/>
  <c r="B198" i="8" s="1"/>
  <c r="C198" i="8" s="1"/>
  <c r="J173" i="12"/>
  <c r="D198" i="8" l="1"/>
  <c r="J140" i="12"/>
  <c r="P173" i="12"/>
  <c r="Q173" i="12" s="1"/>
  <c r="I174" i="12" l="1"/>
  <c r="H174" i="12" s="1"/>
  <c r="K140" i="12"/>
  <c r="L140" i="12" s="1"/>
  <c r="M140" i="12" s="1"/>
  <c r="F198" i="8"/>
  <c r="B199" i="8" s="1"/>
  <c r="C199" i="8" s="1"/>
  <c r="D199" i="8" s="1"/>
  <c r="F199" i="8" s="1"/>
  <c r="B200" i="8" s="1"/>
  <c r="C200" i="8" s="1"/>
  <c r="D200" i="8" s="1"/>
  <c r="F200" i="8" s="1"/>
  <c r="B201" i="8" s="1"/>
  <c r="C201" i="8" s="1"/>
  <c r="D201" i="8" s="1"/>
  <c r="F201" i="8" s="1"/>
  <c r="B202" i="8" s="1"/>
  <c r="C202" i="8" s="1"/>
  <c r="D202" i="8" s="1"/>
  <c r="F202" i="8" s="1"/>
  <c r="B203" i="8" s="1"/>
  <c r="C203" i="8" s="1"/>
  <c r="D203" i="8" s="1"/>
  <c r="F203" i="8" s="1"/>
  <c r="B204" i="8" s="1"/>
  <c r="C204" i="8" s="1"/>
  <c r="D204" i="8" s="1"/>
  <c r="F204" i="8" s="1"/>
  <c r="B205" i="8" s="1"/>
  <c r="C205" i="8" s="1"/>
  <c r="D205" i="8" s="1"/>
  <c r="F205" i="8" s="1"/>
  <c r="B206" i="8" s="1"/>
  <c r="C206" i="8" s="1"/>
  <c r="D206" i="8" s="1"/>
  <c r="F206" i="8" s="1"/>
  <c r="B207" i="8" s="1"/>
  <c r="C207" i="8" s="1"/>
  <c r="D207" i="8" s="1"/>
  <c r="F207" i="8" s="1"/>
  <c r="B208" i="8" s="1"/>
  <c r="C208" i="8" s="1"/>
  <c r="D208" i="8" s="1"/>
  <c r="F208" i="8" s="1"/>
  <c r="B209" i="8" s="1"/>
  <c r="C209" i="8" s="1"/>
  <c r="D209" i="8" s="1"/>
  <c r="F209" i="8" s="1"/>
  <c r="B210" i="8" s="1"/>
  <c r="C210" i="8" s="1"/>
  <c r="D210" i="8" s="1"/>
  <c r="F210" i="8" s="1"/>
  <c r="B211" i="8" s="1"/>
  <c r="C211" i="8" s="1"/>
  <c r="D211" i="8" s="1"/>
  <c r="F211" i="8" s="1"/>
  <c r="B212" i="8" s="1"/>
  <c r="C212" i="8" s="1"/>
  <c r="D212" i="8" s="1"/>
  <c r="F212" i="8" s="1"/>
  <c r="B213" i="8" s="1"/>
  <c r="C213" i="8" s="1"/>
  <c r="D213" i="8" s="1"/>
  <c r="F213" i="8" s="1"/>
  <c r="B214" i="8" s="1"/>
  <c r="C214" i="8" s="1"/>
  <c r="D214" i="8" s="1"/>
  <c r="F214" i="8" s="1"/>
  <c r="B215" i="8" s="1"/>
  <c r="C215" i="8" s="1"/>
  <c r="D215" i="8" s="1"/>
  <c r="F215" i="8" s="1"/>
  <c r="B216" i="8" s="1"/>
  <c r="C216" i="8" s="1"/>
  <c r="D216" i="8" s="1"/>
  <c r="F216" i="8" s="1"/>
  <c r="B217" i="8" s="1"/>
  <c r="C217" i="8" s="1"/>
  <c r="D217" i="8" s="1"/>
  <c r="F217" i="8" s="1"/>
  <c r="B218" i="8" s="1"/>
  <c r="C218" i="8" s="1"/>
  <c r="D218" i="8" s="1"/>
  <c r="F218" i="8" s="1"/>
  <c r="B219" i="8" s="1"/>
  <c r="C219" i="8" s="1"/>
  <c r="D219" i="8" s="1"/>
  <c r="F219" i="8" s="1"/>
  <c r="B220" i="8" s="1"/>
  <c r="C220" i="8" s="1"/>
  <c r="D220" i="8" s="1"/>
  <c r="F220" i="8" s="1"/>
  <c r="B221" i="8" s="1"/>
  <c r="C221" i="8" s="1"/>
  <c r="D221" i="8" s="1"/>
  <c r="F221" i="8" s="1"/>
  <c r="B222" i="8" s="1"/>
  <c r="C222" i="8" s="1"/>
  <c r="D222" i="8" s="1"/>
  <c r="F222" i="8" s="1"/>
  <c r="J174" i="12"/>
  <c r="P174" i="12" l="1"/>
  <c r="Q174" i="12" s="1"/>
  <c r="F35" i="14"/>
  <c r="D34" i="14" l="1"/>
  <c r="D35" i="14" s="1"/>
  <c r="D77" i="14"/>
  <c r="D78" i="1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<sst xmlns="http://schemas.openxmlformats.org/spreadsheetml/2006/main" count="1647" uniqueCount="430">
  <si>
    <t>Trimestre</t>
  </si>
  <si>
    <t>Taux d'occupation</t>
  </si>
  <si>
    <t>Ticket moyen (€)</t>
  </si>
  <si>
    <t>Effet de saisonnalité</t>
  </si>
  <si>
    <t>Mois</t>
  </si>
  <si>
    <t>Coefficient de fréquentation*</t>
  </si>
  <si>
    <t xml:space="preserve">Janvier </t>
  </si>
  <si>
    <t>Fevrier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</si>
  <si>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</si>
  <si>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</si>
  <si>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</si>
  <si>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</si>
  <si>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</si>
  <si>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</si>
  <si>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</si>
  <si>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</si>
  <si>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</si>
  <si>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</si>
  <si>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Matières premières</t>
  </si>
  <si>
    <t>Salaires</t>
  </si>
  <si>
    <t>Hypothèses RH</t>
  </si>
  <si>
    <t>Postes</t>
  </si>
  <si>
    <t>Fonction</t>
  </si>
  <si>
    <t>Présence</t>
  </si>
  <si>
    <t>Statut possible</t>
  </si>
  <si>
    <t>Chef de cuisine</t>
  </si>
  <si>
    <t>Midi + soir</t>
  </si>
  <si>
    <t>Temps plein + extras</t>
  </si>
  <si>
    <t>Commis de cuisine/plongeur</t>
  </si>
  <si>
    <t>Soir</t>
  </si>
  <si>
    <t>Temps plein salarié/ Associé</t>
  </si>
  <si>
    <t>Serveur en salle</t>
  </si>
  <si>
    <t>Serveur en salle supplémentaire</t>
  </si>
  <si>
    <t>Temps partiel</t>
  </si>
  <si>
    <t xml:space="preserve">Salaires et charges mensuelles </t>
  </si>
  <si>
    <t>Poste</t>
  </si>
  <si>
    <t>Salaire Brut Mensuel (€)</t>
  </si>
  <si>
    <t>Coût total mensuel moyen (€)</t>
  </si>
  <si>
    <t>Commis de cuisine / plongeur</t>
  </si>
  <si>
    <t>Serveur en salle (temps partiel, 19h/sem)</t>
  </si>
  <si>
    <t>* Inclut : cotisations patronales ONSS ≈ 27 % du brut, provisions pour 13ᵉ mois + pécule de vacances ≈ 16 % du brut, cotisations sur ces suppléments.</t>
  </si>
  <si>
    <t>Autres coûts RH mensuels</t>
  </si>
  <si>
    <t>Types de dépense</t>
  </si>
  <si>
    <t>Coûts mensuel estimé (€)</t>
  </si>
  <si>
    <t>Formation continue</t>
  </si>
  <si>
    <t>Tenues de travail/équipement</t>
  </si>
  <si>
    <t>Coût du turnover (provision)</t>
  </si>
  <si>
    <t>Repas du personnel</t>
  </si>
  <si>
    <t>Total</t>
  </si>
  <si>
    <t>Loyer</t>
  </si>
  <si>
    <t>Assurances professionnelles</t>
  </si>
  <si>
    <t>Salaires personnel</t>
  </si>
  <si>
    <t>Taxes locales et redevances</t>
  </si>
  <si>
    <t>Location d’équipement</t>
  </si>
  <si>
    <t>Eau</t>
  </si>
  <si>
    <t>Gaz</t>
  </si>
  <si>
    <t>Électricité</t>
  </si>
  <si>
    <t>Internet &amp; téléphonie</t>
  </si>
  <si>
    <t>Maintenance matériel</t>
  </si>
  <si>
    <t>Sécurité &amp; télésurveillance</t>
  </si>
  <si>
    <t>Gestion des déchets</t>
  </si>
  <si>
    <t>Logiciels pro</t>
  </si>
  <si>
    <t>Comptabilité &amp; conseils</t>
  </si>
  <si>
    <t>Site internet (hébergement + maintenance)</t>
  </si>
  <si>
    <t>Frais bancaires</t>
  </si>
  <si>
    <t>Autres coûts RH (formation, repas, etc.)</t>
  </si>
  <si>
    <t>Remboursement emprunt</t>
  </si>
  <si>
    <t>Hypothèses de coûts</t>
  </si>
  <si>
    <t>Charges fixes mensuelles</t>
  </si>
  <si>
    <t>Extras personnel</t>
  </si>
  <si>
    <t>Fournitures consommables</t>
  </si>
  <si>
    <t>Livraison fournisseurs</t>
  </si>
  <si>
    <t>Impression menus / supports visuels</t>
  </si>
  <si>
    <t>Marketing ponctuel / événements</t>
  </si>
  <si>
    <t>Réparations ponctuelles</t>
  </si>
  <si>
    <t>Travaux (rénovation + mise aux normes)</t>
  </si>
  <si>
    <t>Matériel cuisine (four, frigos…)</t>
  </si>
  <si>
    <t>Mobilier (salle, bar, déco)</t>
  </si>
  <si>
    <t>Publicité et lancement</t>
  </si>
  <si>
    <t>Caution (3 mois de loyer)</t>
  </si>
  <si>
    <t>Uniformes du personnel et linge de salle</t>
  </si>
  <si>
    <t>Licences, permis, SABAM</t>
  </si>
  <si>
    <t>Création de l’entreprise (SRL)</t>
  </si>
  <si>
    <t>Frais légaux et comptables (initiaux)</t>
  </si>
  <si>
    <t>Logiciels (caisse, stock, résa)</t>
  </si>
  <si>
    <t>Site internet + graphisme</t>
  </si>
  <si>
    <t>Investissements initiaux</t>
  </si>
  <si>
    <t>Durées d’amortissement par type de bien</t>
  </si>
  <si>
    <t>Type de bien</t>
  </si>
  <si>
    <t>Durée (ans)</t>
  </si>
  <si>
    <t>Hypothèses fiscales et financières</t>
  </si>
  <si>
    <t>Taux de TVA applicable</t>
  </si>
  <si>
    <t>Nature des produits / services</t>
  </si>
  <si>
    <t xml:space="preserve">Taux appliqué </t>
  </si>
  <si>
    <t>Restauration sur place (repas, boissons non alcoolisées)</t>
  </si>
  <si>
    <t>Boissons alcoolisées</t>
  </si>
  <si>
    <t>Impôt sur les sociétés (ISOC)</t>
  </si>
  <si>
    <t>Type de société</t>
  </si>
  <si>
    <t>Taux d’imposition</t>
  </si>
  <si>
    <t>SRL (Société à Responsabilité Limitée)</t>
  </si>
  <si>
    <t>Source de financement</t>
  </si>
  <si>
    <t>Apport personnel (fondateur)</t>
  </si>
  <si>
    <t>Apport d’associé</t>
  </si>
  <si>
    <t>Emprunt bancaire</t>
  </si>
  <si>
    <t xml:space="preserve">Subvention </t>
  </si>
  <si>
    <t>Calcul du coût de revient d’un repas</t>
  </si>
  <si>
    <t>Hypothèse de répartition des tickets moyens</t>
  </si>
  <si>
    <t>Service</t>
  </si>
  <si>
    <t>Ratio repas</t>
  </si>
  <si>
    <t>Ratio boissons</t>
  </si>
  <si>
    <t>Valeur repas (€)</t>
  </si>
  <si>
    <t>Valeur boissons (€)</t>
  </si>
  <si>
    <t>Midi</t>
  </si>
  <si>
    <t>Coût matière première d’un repas</t>
  </si>
  <si>
    <t>Élément</t>
  </si>
  <si>
    <t>Prix vente (€)</t>
  </si>
  <si>
    <t>Ratio coût matière</t>
  </si>
  <si>
    <t>Coût matière (€)</t>
  </si>
  <si>
    <t>Repas midi</t>
  </si>
  <si>
    <t>Boissons midi</t>
  </si>
  <si>
    <t>Repas soir</t>
  </si>
  <si>
    <t>Boissons soir</t>
  </si>
  <si>
    <t>Coût matière par client</t>
  </si>
  <si>
    <t>Somme coût matière (€)</t>
  </si>
  <si>
    <t>Marge brute par client</t>
  </si>
  <si>
    <t>Marge brut sur le ticket moyen</t>
  </si>
  <si>
    <t>Ratio de la marge sur le ticket moyen</t>
  </si>
  <si>
    <t>Année</t>
  </si>
  <si>
    <t>810€/mois</t>
  </si>
  <si>
    <t>—</t>
  </si>
  <si>
    <t>Marge brute</t>
  </si>
  <si>
    <t>Charges fixes</t>
  </si>
  <si>
    <t>EBITDA</t>
  </si>
  <si>
    <t>Équipe en place</t>
  </si>
  <si>
    <t>Midi / Soir</t>
  </si>
  <si>
    <t>Couv_midi</t>
  </si>
  <si>
    <t>Couv_soir</t>
  </si>
  <si>
    <t>CA_midi</t>
  </si>
  <si>
    <t>CA_soir</t>
  </si>
  <si>
    <t>CA_total</t>
  </si>
  <si>
    <t>CA</t>
  </si>
  <si>
    <t>Capacité mensuelle brute</t>
  </si>
  <si>
    <t>Paramètres</t>
  </si>
  <si>
    <t>Capacité</t>
  </si>
  <si>
    <t>Jours/Mois</t>
  </si>
  <si>
    <t>Rotations Soir</t>
  </si>
  <si>
    <t>Ticket Moyen Midi Y1</t>
  </si>
  <si>
    <t>Ticket Moyen Soir Y1</t>
  </si>
  <si>
    <t>Occupation soir</t>
  </si>
  <si>
    <t>T1</t>
  </si>
  <si>
    <t>T2</t>
  </si>
  <si>
    <t>T3</t>
  </si>
  <si>
    <t>T4</t>
  </si>
  <si>
    <t xml:space="preserve">Occupation midi </t>
  </si>
  <si>
    <t>Ticket Moyen Midi Y2</t>
  </si>
  <si>
    <t>Ticket Moyen Soir Y2</t>
  </si>
  <si>
    <t>Ticket Moyen Midi Y3</t>
  </si>
  <si>
    <t>Ticket Moyen Soir Y3</t>
  </si>
  <si>
    <t>T5</t>
  </si>
  <si>
    <t>T6</t>
  </si>
  <si>
    <t>T7</t>
  </si>
  <si>
    <t>T8</t>
  </si>
  <si>
    <t>T9</t>
  </si>
  <si>
    <t>T10</t>
  </si>
  <si>
    <t>T11</t>
  </si>
  <si>
    <t>T12</t>
  </si>
  <si>
    <t>Capacité mensuelle brute/trimestre</t>
  </si>
  <si>
    <t>Inflation des prix menu</t>
  </si>
  <si>
    <t>Inflation MP</t>
  </si>
  <si>
    <t>Coût MP midi</t>
  </si>
  <si>
    <t>Coût MP soir</t>
  </si>
  <si>
    <t>Coût MP TOTAL</t>
  </si>
  <si>
    <t>Marge Brut</t>
  </si>
  <si>
    <t>Taux Marge Brut</t>
  </si>
  <si>
    <t>Année 1 €/mois</t>
  </si>
  <si>
    <t>Année 2 €/mois</t>
  </si>
  <si>
    <t>Année 3 €/mois</t>
  </si>
  <si>
    <t>Licences &amp; permis</t>
  </si>
  <si>
    <t>Commissions CB (1,3 % du CA)</t>
  </si>
  <si>
    <t>Total (hors commissions)</t>
  </si>
  <si>
    <t>Charges variables mensuelles hors MP</t>
  </si>
  <si>
    <t>Tableau amortissements</t>
  </si>
  <si>
    <t>Montant (€)</t>
  </si>
  <si>
    <t>Amort. annuel</t>
  </si>
  <si>
    <t>Amort. mensuel</t>
  </si>
  <si>
    <t>Amort. trimestriel</t>
  </si>
  <si>
    <t>Uniformes personnel &amp; linge</t>
  </si>
  <si>
    <t>Frais légaux &amp; comptables (initiaux)</t>
  </si>
  <si>
    <t>Logiciels (caisse, stock, resa)</t>
  </si>
  <si>
    <t>Période</t>
  </si>
  <si>
    <t>Solde début (€)</t>
  </si>
  <si>
    <t>Intérêt (€)</t>
  </si>
  <si>
    <t>Principal remboursé (€)</t>
  </si>
  <si>
    <t>Paiement (€)</t>
  </si>
  <si>
    <t>Solde fin (€)</t>
  </si>
  <si>
    <t>Coût MP</t>
  </si>
  <si>
    <t>Charges variables</t>
  </si>
  <si>
    <t>Amort.</t>
  </si>
  <si>
    <t>Intérêts</t>
  </si>
  <si>
    <t>ISOC 25%</t>
  </si>
  <si>
    <t>Résultat net</t>
  </si>
  <si>
    <t>Résultat d'expl.</t>
  </si>
  <si>
    <t>Résultat courant</t>
  </si>
  <si>
    <t>T0</t>
  </si>
  <si>
    <t>Variation BFR</t>
  </si>
  <si>
    <t>ISOC payé</t>
  </si>
  <si>
    <t>Intérêts emprunt</t>
  </si>
  <si>
    <t>Capital emprunt</t>
  </si>
  <si>
    <t>CAPEX</t>
  </si>
  <si>
    <t>Apport fondateur</t>
  </si>
  <si>
    <t>Apport associé</t>
  </si>
  <si>
    <t>Prêt bancaire</t>
  </si>
  <si>
    <t>Cash-flow net</t>
  </si>
  <si>
    <t>Trésorerie cumulée</t>
  </si>
  <si>
    <t>Subvention</t>
  </si>
  <si>
    <t>Cash-flow</t>
  </si>
  <si>
    <t>Echéancier (7ans)</t>
  </si>
  <si>
    <t>ACTIF</t>
  </si>
  <si>
    <t>Année 1</t>
  </si>
  <si>
    <t>Année 2</t>
  </si>
  <si>
    <t>Année 3</t>
  </si>
  <si>
    <t>Total CV</t>
  </si>
  <si>
    <t>Charges Fixes</t>
  </si>
  <si>
    <t>Seuil de rentabilité</t>
  </si>
  <si>
    <t>Point Mort</t>
  </si>
  <si>
    <t>M0</t>
  </si>
  <si>
    <t>M1</t>
  </si>
  <si>
    <t>M36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</si>
  <si>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</si>
  <si>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</si>
  <si>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</si>
  <si>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</si>
  <si>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</si>
  <si>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</si>
  <si>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</si>
  <si>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</si>
  <si>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</si>
  <si>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</si>
  <si>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</si>
  <si>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</si>
  <si>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</si>
  <si>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</si>
  <si>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</si>
  <si>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</si>
  <si>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</si>
  <si>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</si>
  <si>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</si>
  <si>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</si>
  <si>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</si>
  <si>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</si>
  <si>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</si>
  <si>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</si>
  <si>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</si>
  <si>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</si>
  <si>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</si>
  <si>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</si>
  <si>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</si>
  <si>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</si>
  <si>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</si>
  <si>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</si>
  <si>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</si>
  <si>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</si>
  <si>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Emprunt bancaire taux</t>
  </si>
  <si>
    <t>Taux</t>
  </si>
  <si>
    <t>Années</t>
  </si>
  <si>
    <t>Stock initial + cave vin</t>
  </si>
  <si>
    <t>Trésorerie mensuelle</t>
  </si>
  <si>
    <t>CA HT</t>
  </si>
  <si>
    <t>CF</t>
  </si>
  <si>
    <t>Marge Brut Mensuelle</t>
  </si>
  <si>
    <t>Marge Brut Trim</t>
  </si>
  <si>
    <t xml:space="preserve">Taux gaspillage </t>
  </si>
  <si>
    <t>Somme coût matière avec gaspillage (€)</t>
  </si>
  <si>
    <t>Taux TVA repas</t>
  </si>
  <si>
    <t>Taux TVA boissons</t>
  </si>
  <si>
    <t>Valeur repas HTVA (€)</t>
  </si>
  <si>
    <t>Valeur boissons HTVA (€)</t>
  </si>
  <si>
    <t>Ticket moyen HTVA (€)</t>
  </si>
  <si>
    <t>TVA collecté par client</t>
  </si>
  <si>
    <t>Amortissement matériel (hors EBITDA)</t>
  </si>
  <si>
    <t>Amort. Mensuel Y1</t>
  </si>
  <si>
    <t>Amort. Mensuel Y2</t>
  </si>
  <si>
    <t>Amort. Mensuel Y3</t>
  </si>
  <si>
    <t>Ticket Moyen Midi Y1 HTVA</t>
  </si>
  <si>
    <t>Ticket Moyen Soir Y1 HTVA</t>
  </si>
  <si>
    <t>Compte de résultat Mensuel</t>
  </si>
  <si>
    <t>CA Mensuelle HT</t>
  </si>
  <si>
    <t>CA Trim HT</t>
  </si>
  <si>
    <t>ajout des 1,3% taux CB sur CA TTC</t>
  </si>
  <si>
    <t>EBIT</t>
  </si>
  <si>
    <t xml:space="preserve">Paramètres </t>
  </si>
  <si>
    <t>CV</t>
  </si>
  <si>
    <t>Marge Mensuelle</t>
  </si>
  <si>
    <t>CA Mensuelle TTC</t>
  </si>
  <si>
    <t>Coût MP HT par mois</t>
  </si>
  <si>
    <t>Coût MP HT par trimestre</t>
  </si>
  <si>
    <t>Chef FT + Commis FT + Serveur FT + Serveur PT +3%</t>
  </si>
  <si>
    <t>avec 5j/sem et on compte les vacances</t>
  </si>
  <si>
    <t>couverts théoriques par service et par mois du midi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</si>
  <si>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</si>
  <si>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</si>
  <si>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</si>
  <si>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</si>
  <si>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</si>
  <si>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</si>
  <si>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</si>
  <si>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</si>
  <si>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</si>
  <si>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</si>
  <si>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</si>
  <si>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</si>
  <si>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Charges patronales + provisions* (~50 %) (€)</t>
  </si>
  <si>
    <t>Masse salariale mensuelle (€)</t>
  </si>
  <si>
    <t>Masse salariale annuelle (€)</t>
  </si>
  <si>
    <t>Montant estimé (€)</t>
  </si>
  <si>
    <t>TRIMESTRIEL</t>
  </si>
  <si>
    <t>MENSUEL</t>
  </si>
  <si>
    <t>Communication, publicité et réseaux sociaux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</si>
  <si>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</si>
  <si>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</si>
  <si>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</si>
  <si>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</si>
  <si>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</si>
  <si>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</si>
  <si>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</si>
  <si>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</si>
  <si>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</si>
  <si>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</si>
  <si>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</si>
  <si>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</si>
  <si>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Ticket Moyen Midi Y4</t>
  </si>
  <si>
    <t>Ticket Moyen Soir Y4</t>
  </si>
  <si>
    <t>Ticket Moyen Midi Y5</t>
  </si>
  <si>
    <t>Ticket Moyen Soir Y5</t>
  </si>
  <si>
    <t>M61</t>
  </si>
  <si>
    <t>M62</t>
  </si>
  <si>
    <t>M63</t>
  </si>
  <si>
    <t>M64</t>
  </si>
  <si>
    <t>M65</t>
  </si>
  <si>
    <t>M66</t>
  </si>
  <si>
    <t>M67</t>
  </si>
  <si>
    <t>M68</t>
  </si>
  <si>
    <t>M69</t>
  </si>
  <si>
    <t>M70</t>
  </si>
  <si>
    <t>M71</t>
  </si>
  <si>
    <t>M72</t>
  </si>
  <si>
    <t>M73</t>
  </si>
  <si>
    <t>M74</t>
  </si>
  <si>
    <t>M75</t>
  </si>
  <si>
    <t>M76</t>
  </si>
  <si>
    <t>M77</t>
  </si>
  <si>
    <t>M78</t>
  </si>
  <si>
    <t>M79</t>
  </si>
  <si>
    <t>M80</t>
  </si>
  <si>
    <t>M81</t>
  </si>
  <si>
    <t>M82</t>
  </si>
  <si>
    <t>M83</t>
  </si>
  <si>
    <t>M84</t>
  </si>
  <si>
    <t>CA Annuel</t>
  </si>
  <si>
    <t xml:space="preserve">CA </t>
  </si>
  <si>
    <t>Charges fixes cumulées</t>
  </si>
  <si>
    <t>Point Mort Atteint?</t>
  </si>
  <si>
    <t xml:space="preserve">Marge Mensuelle </t>
  </si>
  <si>
    <t>Marge cumulée</t>
  </si>
  <si>
    <t>Marge net</t>
  </si>
  <si>
    <t>Optimiste_Midi</t>
  </si>
  <si>
    <t>Optimiste_Soir</t>
  </si>
  <si>
    <t>Réaliste_Midi</t>
  </si>
  <si>
    <t>Réaliste_Soir</t>
  </si>
  <si>
    <t>Pessimiste_Midi</t>
  </si>
  <si>
    <t>Pessimiste_Soir</t>
  </si>
  <si>
    <t>A1</t>
  </si>
  <si>
    <t>A2</t>
  </si>
  <si>
    <t>A3</t>
  </si>
  <si>
    <t>CA HT annuel</t>
  </si>
  <si>
    <t>Résultat net annuel</t>
  </si>
  <si>
    <t xml:space="preserve">Marge nette moyenne </t>
  </si>
  <si>
    <t>opti</t>
  </si>
  <si>
    <t>Réaliste</t>
  </si>
  <si>
    <t>Pessimiste</t>
  </si>
  <si>
    <t>Taux occupation</t>
  </si>
  <si>
    <t>Ticket moyen</t>
  </si>
  <si>
    <t>Opti</t>
  </si>
  <si>
    <t>Pas de porte</t>
  </si>
  <si>
    <t>BILAN D'OUVERTURE</t>
  </si>
  <si>
    <t>PASSIF</t>
  </si>
  <si>
    <t>Immobilisations</t>
  </si>
  <si>
    <t>Capital</t>
  </si>
  <si>
    <t>Immobilisations incorpelles</t>
  </si>
  <si>
    <t>Emprunt</t>
  </si>
  <si>
    <t>immobilisation corporelles</t>
  </si>
  <si>
    <t xml:space="preserve">                                             -   €</t>
  </si>
  <si>
    <t>Immo ffinancière</t>
  </si>
  <si>
    <t>réserve légale</t>
  </si>
  <si>
    <t>TOTAL    :</t>
  </si>
  <si>
    <t>Résultat bénéfices</t>
  </si>
  <si>
    <t>Stock</t>
  </si>
  <si>
    <t>Provision pour risques et charges</t>
  </si>
  <si>
    <t>Dettes fournisseurs</t>
  </si>
  <si>
    <t xml:space="preserve">Banque </t>
  </si>
  <si>
    <t xml:space="preserve">                                              -   €</t>
  </si>
  <si>
    <t>Caisse</t>
  </si>
  <si>
    <t>TOTAL ACTIF   :</t>
  </si>
  <si>
    <t>TOTAL PASSIF.  :</t>
  </si>
  <si>
    <t>amortiss immo corporelles</t>
  </si>
  <si>
    <t>Résultat/ bénéfices</t>
  </si>
  <si>
    <t>Casse et remplacement vaisselle</t>
  </si>
  <si>
    <t>Recrutement et formation ponctuelle</t>
  </si>
  <si>
    <t xml:space="preserve">Compte de résultat trimestriel </t>
  </si>
  <si>
    <t>Compte de résultat mensuel</t>
  </si>
  <si>
    <t>Coefficient de fréquentation</t>
  </si>
  <si>
    <t>CAF</t>
  </si>
  <si>
    <t>ROE</t>
  </si>
  <si>
    <t>ROE (%)</t>
  </si>
  <si>
    <t>CAF (€)</t>
  </si>
  <si>
    <t>Marge nette (%)</t>
  </si>
  <si>
    <t>Chef FT + Chef PT + Commis FT + 2 Serveurs FT , +3%</t>
  </si>
  <si>
    <t>Coûts fixes</t>
  </si>
  <si>
    <t>Seuil de rentabilité et Point mort</t>
  </si>
  <si>
    <t>Prime région Bruxelles capital</t>
  </si>
  <si>
    <t>Réserve légale</t>
  </si>
  <si>
    <t>BILAN FINANCIER SIMPLIFIE ANNEE 1</t>
  </si>
  <si>
    <t>BILAN FINANCIER SIMPLIFIE ANNEE 2</t>
  </si>
  <si>
    <t>BILAN FINANCIER SIMPLIFIE ANNEE 3</t>
  </si>
  <si>
    <t>BILAN FINANCIER SIMPLI+E62FIE ANNEE 3</t>
  </si>
  <si>
    <t>Dettes financières (&gt; 1 an)</t>
  </si>
  <si>
    <t>Dettes financières (≤ 1 an)</t>
  </si>
  <si>
    <t>Chef de cuisine (temps partiel, 19h/sem)</t>
  </si>
  <si>
    <r>
      <t xml:space="preserve">Chef FT + Serveur FT </t>
    </r>
    <r>
      <rPr>
        <sz val="12"/>
        <color rgb="FFFF0000"/>
        <rFont val="Calibri (Corps)"/>
      </rPr>
      <t>(DEMI SALAIRE ANNEE 1)</t>
    </r>
  </si>
  <si>
    <t>Charges 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</si>
</sst>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_);[Red]\(#,##0\ &quot;€&quot;\)"/>
    <numFmt numFmtId="44" formatCode="_ * #,##0.00_)\ &quot;€&quot;_ ;_ * \(#,##0.00\)\ &quot;€&quot;_ ;_ * &quot;-&quot;??_)\ &quot;€&quot;_ ;_ @_ "/>
    <numFmt numFmtId="164" formatCode="_-* #,##0.00\ [$€-80C]_-;\-* #,##0.00\ [$€-80C]_-;_-* &quot;-&quot;??\ [$€-80C]_-;_-@_-"/>
  </numFmts>
  <fonts count="4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0000"/>
      <name val="Helvetica Neue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 (Corps)"/>
    </font>
    <font>
      <sz val="12"/>
      <color theme="1"/>
      <name val="Calibri (Corps)"/>
    </font>
    <font>
      <b/>
      <sz val="12"/>
      <name val="Calibri (Corps)"/>
    </font>
    <font>
      <u/>
      <sz val="12"/>
      <color theme="10"/>
      <name val="Calibri"/>
      <family val="2"/>
      <scheme val="minor"/>
    </font>
    <font>
      <b/>
      <sz val="12"/>
      <name val="Calibri"/>
      <family val="2"/>
    </font>
    <font>
      <sz val="12"/>
      <color theme="1" tint="0.3499862666707357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1"/>
      <name val="Times New Roman"/>
      <family val="1"/>
    </font>
    <font>
      <sz val="12"/>
      <color rgb="FF000000"/>
      <name val="Aptos Narrow"/>
      <family val="2"/>
    </font>
    <font>
      <sz val="12"/>
      <color rgb="FFFFFFFF"/>
      <name val="Aptos Narrow"/>
      <family val="2"/>
    </font>
    <font>
      <b/>
      <sz val="11"/>
      <color rgb="FF156082"/>
      <name val="Aptos Narrow"/>
      <family val="2"/>
    </font>
    <font>
      <b/>
      <sz val="12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rgb="FFFF0000"/>
      <name val="Aptos Narrow"/>
      <family val="2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9"/>
      <name val="Calibri"/>
      <family val="2"/>
      <scheme val="minor"/>
    </font>
    <font>
      <sz val="12"/>
      <color rgb="FF000000"/>
      <name val="Helvetica Neue"/>
      <family val="2"/>
    </font>
    <font>
      <b/>
      <sz val="12"/>
      <color rgb="FF000000"/>
      <name val="Helvetica Neue"/>
      <family val="2"/>
    </font>
    <font>
      <b/>
      <sz val="14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4"/>
      <name val="Calibri"/>
      <family val="2"/>
      <scheme val="minor"/>
    </font>
    <font>
      <sz val="12"/>
      <color theme="4" tint="0.39997558519241921"/>
      <name val="Calibri"/>
      <family val="2"/>
      <scheme val="minor"/>
    </font>
    <font>
      <sz val="12"/>
      <name val="Calibri (Corps)"/>
    </font>
    <font>
      <sz val="12"/>
      <color theme="9"/>
      <name val="Aptos Narrow"/>
      <family val="2"/>
    </font>
    <font>
      <b/>
      <sz val="11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rgb="FFFF0000"/>
      <name val="Aptos Narrow"/>
      <family val="2"/>
    </font>
    <font>
      <sz val="12"/>
      <color rgb="FFFF0000"/>
      <name val="Calibri (Corps)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56082"/>
        <bgColor rgb="FF000000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44" fontId="29" fillId="0" borderId="0" applyFont="0" applyFill="0" applyBorder="0" applyAlignment="0" applyProtection="0"/>
  </cellStyleXfs>
  <cellXfs count="164">
    <xf numFmtId="0" fontId="0" fillId="0" borderId="0" xfId="0"/>
    <xf numFmtId="0" fontId="6" fillId="0" borderId="0" xfId="0" applyFont="1"/>
    <xf numFmtId="0" fontId="4" fillId="0" borderId="0" xfId="0" applyFont="1"/>
    <xf numFmtId="0" fontId="0" fillId="0" borderId="1" xfId="0" applyBorder="1"/>
    <xf numFmtId="6" fontId="0" fillId="0" borderId="0" xfId="0" applyNumberFormat="1"/>
    <xf numFmtId="2" fontId="0" fillId="0" borderId="1" xfId="0" applyNumberFormat="1" applyBorder="1"/>
    <xf numFmtId="0" fontId="11" fillId="0" borderId="0" xfId="0" applyFont="1"/>
    <xf numFmtId="0" fontId="12" fillId="0" borderId="0" xfId="0" applyFont="1" applyAlignment="1">
      <alignment vertical="center"/>
    </xf>
    <xf numFmtId="2" fontId="0" fillId="0" borderId="0" xfId="0" applyNumberFormat="1"/>
    <xf numFmtId="2" fontId="9" fillId="0" borderId="0" xfId="0" applyNumberFormat="1" applyFont="1"/>
    <xf numFmtId="2" fontId="8" fillId="0" borderId="1" xfId="0" applyNumberFormat="1" applyFont="1" applyBorder="1"/>
    <xf numFmtId="2" fontId="6" fillId="0" borderId="1" xfId="0" applyNumberFormat="1" applyFont="1" applyBorder="1"/>
    <xf numFmtId="2" fontId="4" fillId="0" borderId="0" xfId="0" applyNumberFormat="1" applyFont="1"/>
    <xf numFmtId="2" fontId="6" fillId="0" borderId="0" xfId="0" applyNumberFormat="1" applyFont="1"/>
    <xf numFmtId="2" fontId="5" fillId="0" borderId="0" xfId="0" applyNumberFormat="1" applyFont="1"/>
    <xf numFmtId="2" fontId="7" fillId="2" borderId="0" xfId="0" applyNumberFormat="1" applyFont="1" applyFill="1"/>
    <xf numFmtId="2" fontId="3" fillId="0" borderId="1" xfId="0" applyNumberFormat="1" applyFont="1" applyBorder="1"/>
    <xf numFmtId="2" fontId="3" fillId="0" borderId="0" xfId="0" applyNumberFormat="1" applyFont="1"/>
    <xf numFmtId="2" fontId="17" fillId="0" borderId="1" xfId="0" applyNumberFormat="1" applyFont="1" applyBorder="1" applyAlignment="1">
      <alignment horizontal="center" vertical="top"/>
    </xf>
    <xf numFmtId="2" fontId="16" fillId="0" borderId="1" xfId="0" applyNumberFormat="1" applyFont="1" applyBorder="1"/>
    <xf numFmtId="2" fontId="15" fillId="0" borderId="1" xfId="0" applyNumberFormat="1" applyFont="1" applyBorder="1"/>
    <xf numFmtId="0" fontId="3" fillId="0" borderId="0" xfId="0" applyFont="1"/>
    <xf numFmtId="6" fontId="6" fillId="0" borderId="0" xfId="0" applyNumberFormat="1" applyFont="1"/>
    <xf numFmtId="6" fontId="3" fillId="0" borderId="0" xfId="0" applyNumberFormat="1" applyFont="1"/>
    <xf numFmtId="2" fontId="18" fillId="0" borderId="0" xfId="1" applyNumberFormat="1" applyFont="1"/>
    <xf numFmtId="2" fontId="3" fillId="0" borderId="1" xfId="0" applyNumberFormat="1" applyFont="1" applyBorder="1" applyAlignment="1">
      <alignment horizontal="right"/>
    </xf>
    <xf numFmtId="2" fontId="19" fillId="0" borderId="0" xfId="0" applyNumberFormat="1" applyFont="1" applyAlignment="1">
      <alignment horizontal="center" vertical="top"/>
    </xf>
    <xf numFmtId="2" fontId="19" fillId="0" borderId="1" xfId="0" applyNumberFormat="1" applyFont="1" applyBorder="1" applyAlignment="1">
      <alignment horizontal="center" vertical="top"/>
    </xf>
    <xf numFmtId="2" fontId="20" fillId="0" borderId="0" xfId="0" applyNumberFormat="1" applyFont="1"/>
    <xf numFmtId="2" fontId="13" fillId="0" borderId="0" xfId="0" applyNumberFormat="1" applyFont="1"/>
    <xf numFmtId="2" fontId="6" fillId="0" borderId="1" xfId="0" applyNumberFormat="1" applyFont="1" applyBorder="1" applyAlignment="1">
      <alignment horizontal="center"/>
    </xf>
    <xf numFmtId="2" fontId="21" fillId="0" borderId="0" xfId="0" applyNumberFormat="1" applyFont="1"/>
    <xf numFmtId="2" fontId="8" fillId="0" borderId="0" xfId="0" applyNumberFormat="1" applyFont="1"/>
    <xf numFmtId="2" fontId="11" fillId="0" borderId="0" xfId="0" applyNumberFormat="1" applyFont="1"/>
    <xf numFmtId="2" fontId="4" fillId="0" borderId="0" xfId="0" applyNumberFormat="1" applyFont="1" applyAlignment="1">
      <alignment horizontal="center" vertical="top"/>
    </xf>
    <xf numFmtId="2" fontId="12" fillId="0" borderId="0" xfId="0" applyNumberFormat="1" applyFont="1" applyAlignment="1">
      <alignment vertical="center"/>
    </xf>
    <xf numFmtId="2" fontId="12" fillId="0" borderId="4" xfId="0" applyNumberFormat="1" applyFont="1" applyBorder="1" applyAlignment="1">
      <alignment vertical="center"/>
    </xf>
    <xf numFmtId="0" fontId="21" fillId="0" borderId="0" xfId="0" applyFont="1"/>
    <xf numFmtId="0" fontId="4" fillId="0" borderId="1" xfId="0" applyFont="1" applyBorder="1" applyAlignment="1">
      <alignment horizontal="center" vertical="top"/>
    </xf>
    <xf numFmtId="0" fontId="23" fillId="0" borderId="0" xfId="0" applyFont="1"/>
    <xf numFmtId="0" fontId="26" fillId="0" borderId="12" xfId="0" applyFont="1" applyBorder="1"/>
    <xf numFmtId="164" fontId="23" fillId="0" borderId="13" xfId="0" applyNumberFormat="1" applyFont="1" applyBorder="1"/>
    <xf numFmtId="0" fontId="23" fillId="0" borderId="12" xfId="0" applyFont="1" applyBorder="1"/>
    <xf numFmtId="0" fontId="26" fillId="0" borderId="9" xfId="0" applyFont="1" applyBorder="1" applyAlignment="1">
      <alignment horizontal="right"/>
    </xf>
    <xf numFmtId="164" fontId="26" fillId="0" borderId="6" xfId="0" applyNumberFormat="1" applyFont="1" applyBorder="1"/>
    <xf numFmtId="0" fontId="26" fillId="0" borderId="11" xfId="0" applyFont="1" applyBorder="1" applyAlignment="1">
      <alignment horizontal="right"/>
    </xf>
    <xf numFmtId="164" fontId="27" fillId="0" borderId="6" xfId="0" applyNumberFormat="1" applyFont="1" applyBorder="1"/>
    <xf numFmtId="0" fontId="23" fillId="0" borderId="8" xfId="0" applyFont="1" applyBorder="1"/>
    <xf numFmtId="0" fontId="26" fillId="0" borderId="14" xfId="0" applyFont="1" applyBorder="1" applyAlignment="1">
      <alignment horizontal="right"/>
    </xf>
    <xf numFmtId="164" fontId="26" fillId="0" borderId="8" xfId="0" applyNumberFormat="1" applyFont="1" applyBorder="1"/>
    <xf numFmtId="164" fontId="23" fillId="0" borderId="0" xfId="0" applyNumberFormat="1" applyFont="1"/>
    <xf numFmtId="0" fontId="28" fillId="0" borderId="0" xfId="0" applyFont="1"/>
    <xf numFmtId="2" fontId="7" fillId="2" borderId="1" xfId="0" applyNumberFormat="1" applyFont="1" applyFill="1" applyBorder="1" applyAlignment="1">
      <alignment horizontal="center"/>
    </xf>
    <xf numFmtId="2" fontId="2" fillId="0" borderId="0" xfId="0" applyNumberFormat="1" applyFont="1"/>
    <xf numFmtId="2" fontId="2" fillId="0" borderId="1" xfId="0" applyNumberFormat="1" applyFont="1" applyBorder="1"/>
    <xf numFmtId="2" fontId="31" fillId="0" borderId="0" xfId="0" applyNumberFormat="1" applyFont="1"/>
    <xf numFmtId="2" fontId="32" fillId="0" borderId="0" xfId="0" applyNumberFormat="1" applyFont="1"/>
    <xf numFmtId="2" fontId="33" fillId="0" borderId="1" xfId="0" applyNumberFormat="1" applyFont="1" applyBorder="1"/>
    <xf numFmtId="2" fontId="33" fillId="0" borderId="0" xfId="0" applyNumberFormat="1" applyFont="1"/>
    <xf numFmtId="2" fontId="32" fillId="0" borderId="1" xfId="0" applyNumberFormat="1" applyFont="1" applyBorder="1"/>
    <xf numFmtId="2" fontId="33" fillId="0" borderId="2" xfId="0" applyNumberFormat="1" applyFont="1" applyBorder="1"/>
    <xf numFmtId="0" fontId="2" fillId="0" borderId="0" xfId="0" applyFont="1"/>
    <xf numFmtId="0" fontId="6" fillId="0" borderId="1" xfId="0" applyFont="1" applyBorder="1"/>
    <xf numFmtId="2" fontId="35" fillId="0" borderId="1" xfId="0" applyNumberFormat="1" applyFont="1" applyBorder="1"/>
    <xf numFmtId="2" fontId="36" fillId="0" borderId="1" xfId="0" applyNumberFormat="1" applyFont="1" applyBorder="1"/>
    <xf numFmtId="2" fontId="36" fillId="0" borderId="1" xfId="0" applyNumberFormat="1" applyFont="1" applyBorder="1" applyAlignment="1">
      <alignment horizontal="right"/>
    </xf>
    <xf numFmtId="2" fontId="37" fillId="0" borderId="1" xfId="0" applyNumberFormat="1" applyFont="1" applyBorder="1"/>
    <xf numFmtId="2" fontId="2" fillId="0" borderId="1" xfId="0" applyNumberFormat="1" applyFont="1" applyBorder="1" applyAlignment="1">
      <alignment horizontal="right"/>
    </xf>
    <xf numFmtId="2" fontId="37" fillId="0" borderId="0" xfId="0" applyNumberFormat="1" applyFont="1"/>
    <xf numFmtId="2" fontId="38" fillId="0" borderId="1" xfId="0" applyNumberFormat="1" applyFont="1" applyBorder="1"/>
    <xf numFmtId="2" fontId="6" fillId="0" borderId="1" xfId="0" applyNumberFormat="1" applyFont="1" applyBorder="1" applyAlignment="1">
      <alignment horizontal="center" vertical="top"/>
    </xf>
    <xf numFmtId="2" fontId="6" fillId="0" borderId="0" xfId="0" applyNumberFormat="1" applyFont="1" applyAlignment="1">
      <alignment horizontal="center" vertical="top"/>
    </xf>
    <xf numFmtId="2" fontId="39" fillId="0" borderId="1" xfId="0" applyNumberFormat="1" applyFont="1" applyBorder="1" applyAlignment="1">
      <alignment vertical="center"/>
    </xf>
    <xf numFmtId="2" fontId="39" fillId="0" borderId="3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2" fontId="17" fillId="0" borderId="1" xfId="0" applyNumberFormat="1" applyFont="1" applyBorder="1" applyAlignment="1">
      <alignment vertical="center"/>
    </xf>
    <xf numFmtId="2" fontId="17" fillId="0" borderId="5" xfId="0" applyNumberFormat="1" applyFont="1" applyBorder="1" applyAlignment="1">
      <alignment vertical="center"/>
    </xf>
    <xf numFmtId="0" fontId="15" fillId="0" borderId="1" xfId="0" applyFont="1" applyBorder="1"/>
    <xf numFmtId="0" fontId="16" fillId="0" borderId="1" xfId="0" applyFont="1" applyBorder="1"/>
    <xf numFmtId="0" fontId="15" fillId="0" borderId="0" xfId="0" applyFont="1"/>
    <xf numFmtId="0" fontId="16" fillId="0" borderId="0" xfId="0" applyFont="1"/>
    <xf numFmtId="2" fontId="2" fillId="0" borderId="2" xfId="0" applyNumberFormat="1" applyFont="1" applyBorder="1"/>
    <xf numFmtId="0" fontId="26" fillId="0" borderId="0" xfId="0" applyFont="1"/>
    <xf numFmtId="0" fontId="40" fillId="0" borderId="0" xfId="0" applyFont="1"/>
    <xf numFmtId="0" fontId="41" fillId="0" borderId="9" xfId="0" applyFont="1" applyBorder="1" applyAlignment="1">
      <alignment horizontal="center"/>
    </xf>
    <xf numFmtId="0" fontId="41" fillId="0" borderId="7" xfId="0" applyFont="1" applyBorder="1" applyAlignment="1">
      <alignment horizontal="center"/>
    </xf>
    <xf numFmtId="0" fontId="6" fillId="0" borderId="12" xfId="0" applyFont="1" applyBorder="1"/>
    <xf numFmtId="164" fontId="0" fillId="0" borderId="19" xfId="0" applyNumberFormat="1" applyBorder="1"/>
    <xf numFmtId="164" fontId="0" fillId="0" borderId="19" xfId="2" applyNumberFormat="1" applyFont="1" applyBorder="1"/>
    <xf numFmtId="0" fontId="0" fillId="0" borderId="12" xfId="0" applyBorder="1"/>
    <xf numFmtId="164" fontId="0" fillId="0" borderId="13" xfId="0" applyNumberFormat="1" applyBorder="1"/>
    <xf numFmtId="164" fontId="0" fillId="0" borderId="13" xfId="2" applyNumberFormat="1" applyFont="1" applyBorder="1"/>
    <xf numFmtId="0" fontId="6" fillId="0" borderId="9" xfId="0" applyFont="1" applyBorder="1" applyAlignment="1">
      <alignment horizontal="right"/>
    </xf>
    <xf numFmtId="164" fontId="6" fillId="0" borderId="6" xfId="0" applyNumberFormat="1" applyFont="1" applyBorder="1"/>
    <xf numFmtId="164" fontId="4" fillId="0" borderId="6" xfId="2" applyNumberFormat="1" applyFont="1" applyBorder="1"/>
    <xf numFmtId="164" fontId="4" fillId="0" borderId="6" xfId="0" applyNumberFormat="1" applyFont="1" applyBorder="1"/>
    <xf numFmtId="0" fontId="0" fillId="0" borderId="8" xfId="0" applyBorder="1"/>
    <xf numFmtId="164" fontId="6" fillId="0" borderId="6" xfId="2" applyNumberFormat="1" applyFont="1" applyBorder="1"/>
    <xf numFmtId="2" fontId="4" fillId="0" borderId="1" xfId="0" applyNumberFormat="1" applyFont="1" applyBorder="1"/>
    <xf numFmtId="0" fontId="4" fillId="0" borderId="1" xfId="0" applyFont="1" applyBorder="1"/>
    <xf numFmtId="2" fontId="16" fillId="0" borderId="0" xfId="0" applyNumberFormat="1" applyFont="1"/>
    <xf numFmtId="0" fontId="39" fillId="0" borderId="0" xfId="0" applyFont="1" applyAlignment="1">
      <alignment vertical="center"/>
    </xf>
    <xf numFmtId="0" fontId="44" fillId="0" borderId="0" xfId="0" applyFont="1"/>
    <xf numFmtId="0" fontId="26" fillId="0" borderId="0" xfId="0" applyFont="1" applyAlignment="1">
      <alignment horizontal="right"/>
    </xf>
    <xf numFmtId="164" fontId="26" fillId="0" borderId="0" xfId="0" applyNumberFormat="1" applyFont="1"/>
    <xf numFmtId="164" fontId="27" fillId="0" borderId="0" xfId="0" applyNumberFormat="1" applyFont="1"/>
    <xf numFmtId="0" fontId="43" fillId="0" borderId="0" xfId="0" applyFont="1" applyAlignment="1">
      <alignment horizontal="center"/>
    </xf>
    <xf numFmtId="164" fontId="0" fillId="0" borderId="0" xfId="0" applyNumberFormat="1"/>
    <xf numFmtId="164" fontId="0" fillId="0" borderId="0" xfId="2" applyNumberFormat="1" applyFont="1" applyFill="1" applyBorder="1"/>
    <xf numFmtId="0" fontId="6" fillId="0" borderId="0" xfId="0" applyFont="1" applyAlignment="1">
      <alignment horizontal="right"/>
    </xf>
    <xf numFmtId="164" fontId="6" fillId="0" borderId="0" xfId="0" applyNumberFormat="1" applyFont="1"/>
    <xf numFmtId="164" fontId="4" fillId="0" borderId="0" xfId="2" applyNumberFormat="1" applyFont="1" applyFill="1" applyBorder="1"/>
    <xf numFmtId="164" fontId="4" fillId="0" borderId="0" xfId="0" applyNumberFormat="1" applyFont="1"/>
    <xf numFmtId="164" fontId="6" fillId="0" borderId="0" xfId="2" applyNumberFormat="1" applyFont="1" applyFill="1" applyBorder="1"/>
    <xf numFmtId="0" fontId="30" fillId="0" borderId="0" xfId="0" applyFont="1"/>
    <xf numFmtId="0" fontId="0" fillId="2" borderId="0" xfId="0" applyFill="1"/>
    <xf numFmtId="2" fontId="1" fillId="0" borderId="1" xfId="0" applyNumberFormat="1" applyFont="1" applyBorder="1"/>
    <xf numFmtId="0" fontId="0" fillId="0" borderId="0" xfId="0" applyAlignment="1">
      <alignment vertical="top"/>
    </xf>
    <xf numFmtId="2" fontId="46" fillId="0" borderId="0" xfId="0" applyNumberFormat="1" applyFont="1"/>
    <xf numFmtId="2" fontId="47" fillId="0" borderId="0" xfId="0" applyNumberFormat="1" applyFont="1"/>
    <xf numFmtId="0" fontId="47" fillId="0" borderId="0" xfId="0" applyFont="1"/>
    <xf numFmtId="2" fontId="47" fillId="0" borderId="1" xfId="0" applyNumberFormat="1" applyFont="1" applyBorder="1" applyAlignment="1">
      <alignment vertical="top"/>
    </xf>
    <xf numFmtId="0" fontId="47" fillId="0" borderId="0" xfId="0" applyFont="1" applyAlignment="1">
      <alignment vertical="top"/>
    </xf>
    <xf numFmtId="2" fontId="47" fillId="0" borderId="1" xfId="0" applyNumberFormat="1" applyFont="1" applyBorder="1"/>
    <xf numFmtId="2" fontId="47" fillId="2" borderId="0" xfId="0" applyNumberFormat="1" applyFont="1" applyFill="1"/>
    <xf numFmtId="0" fontId="47" fillId="0" borderId="1" xfId="0" applyFont="1" applyBorder="1"/>
    <xf numFmtId="2" fontId="7" fillId="2" borderId="18" xfId="0" applyNumberFormat="1" applyFont="1" applyFill="1" applyBorder="1" applyAlignment="1">
      <alignment horizontal="center"/>
    </xf>
    <xf numFmtId="2" fontId="7" fillId="2" borderId="17" xfId="0" applyNumberFormat="1" applyFont="1" applyFill="1" applyBorder="1" applyAlignment="1">
      <alignment horizontal="center"/>
    </xf>
    <xf numFmtId="2" fontId="6" fillId="3" borderId="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6" fillId="3" borderId="17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2" fontId="7" fillId="3" borderId="17" xfId="0" applyNumberFormat="1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/>
    </xf>
    <xf numFmtId="2" fontId="34" fillId="4" borderId="0" xfId="0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2" fontId="34" fillId="2" borderId="17" xfId="0" applyNumberFormat="1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24" fillId="5" borderId="15" xfId="0" applyFont="1" applyFill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16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0" fillId="6" borderId="15" xfId="0" applyFont="1" applyFill="1" applyBorder="1" applyAlignment="1">
      <alignment horizontal="center"/>
    </xf>
    <xf numFmtId="0" fontId="30" fillId="6" borderId="0" xfId="0" applyFont="1" applyFill="1" applyAlignment="1">
      <alignment horizontal="center"/>
    </xf>
    <xf numFmtId="0" fontId="41" fillId="0" borderId="9" xfId="0" applyFont="1" applyBorder="1" applyAlignment="1">
      <alignment horizontal="center"/>
    </xf>
    <xf numFmtId="0" fontId="41" fillId="0" borderId="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2" fontId="34" fillId="2" borderId="18" xfId="0" applyNumberFormat="1" applyFont="1" applyFill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17" fillId="0" borderId="0" xfId="0" applyFont="1" applyBorder="1" applyAlignment="1">
      <alignment vertical="center"/>
    </xf>
    <xf numFmtId="0" fontId="4" fillId="0" borderId="0" xfId="0" applyFont="1" applyBorder="1"/>
    <xf numFmtId="0" fontId="15" fillId="0" borderId="0" xfId="0" applyFont="1" applyBorder="1"/>
    <xf numFmtId="0" fontId="0" fillId="0" borderId="0" xfId="0" applyBorder="1"/>
    <xf numFmtId="2" fontId="16" fillId="0" borderId="0" xfId="0" applyNumberFormat="1" applyFont="1" applyBorder="1"/>
    <xf numFmtId="0" fontId="0" fillId="0" borderId="0" xfId="0" applyBorder="1" applyAlignment="1">
      <alignment vertical="top"/>
    </xf>
    <xf numFmtId="0" fontId="22" fillId="0" borderId="0" xfId="0" applyFont="1" applyBorder="1" applyAlignment="1">
      <alignment horizontal="justify" vertical="top" wrapText="1"/>
    </xf>
    <xf numFmtId="0" fontId="22" fillId="0" borderId="0" xfId="0" applyFont="1" applyBorder="1" applyAlignment="1">
      <alignment horizontal="justify" vertical="center" wrapText="1"/>
    </xf>
  </cellXfs>
  <cellStyles count="3">
    <cellStyle name="Lien hypertexte" xfId="1" builtinId="8"/>
    <cellStyle name="Monétaire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"/>
  <sheetViews>
    <sheetView topLeftCell="A84" zoomScale="83" zoomScaleNormal="100" workbookViewId="0">
      <selection activeCell="F18" sqref="F18"/>
    </sheetView>
  </sheetViews>
  <sheetFormatPr baseColWidth="10" defaultColWidth="8.83203125" defaultRowHeight="15" x14ac:dyDescent="0.2"/>
  <cols>
    <col min="1" max="4" width="57.6640625" customWidth="1"/>
    <col min="5" max="5" width="69.1640625" customWidth="1"/>
    <col min="6" max="6" width="35.33203125" customWidth="1"/>
    <col min="7" max="7" width="20" customWidth="1"/>
    <col min="8" max="8" width="23.1640625" customWidth="1"/>
  </cols>
  <sheetData>
    <row r="1" spans="1:8" x14ac:dyDescent="0.2">
      <c r="A1" s="8"/>
      <c r="B1" s="8"/>
      <c r="C1" s="8"/>
      <c r="D1" s="8"/>
      <c r="E1" s="8"/>
    </row>
    <row r="2" spans="1:8" ht="16" x14ac:dyDescent="0.2">
      <c r="A2" s="17"/>
      <c r="B2" s="17"/>
      <c r="C2" s="17"/>
      <c r="D2" s="17"/>
      <c r="E2" s="17"/>
      <c r="F2" s="21"/>
      <c r="G2" s="21"/>
    </row>
    <row r="3" spans="1:8" ht="19" x14ac:dyDescent="0.25">
      <c r="A3" s="52" t="s">
        <v>20</v>
      </c>
      <c r="B3" s="17"/>
      <c r="C3" s="17"/>
      <c r="D3" s="17"/>
      <c r="E3" s="17"/>
      <c r="F3" s="21"/>
      <c r="G3" s="21"/>
    </row>
    <row r="4" spans="1:8" ht="16" x14ac:dyDescent="0.2">
      <c r="A4" s="11" t="s">
        <v>21</v>
      </c>
      <c r="B4" s="17"/>
      <c r="C4" s="17"/>
      <c r="D4" s="17"/>
      <c r="E4" s="13"/>
      <c r="F4" s="1"/>
      <c r="G4" s="1"/>
      <c r="H4" s="2"/>
    </row>
    <row r="5" spans="1:8" ht="16" x14ac:dyDescent="0.2">
      <c r="A5" s="11" t="s">
        <v>22</v>
      </c>
      <c r="B5" s="11" t="s">
        <v>23</v>
      </c>
      <c r="C5" s="11" t="s">
        <v>24</v>
      </c>
      <c r="D5" s="13"/>
      <c r="E5" s="13"/>
      <c r="F5" s="21"/>
      <c r="G5" s="22"/>
      <c r="H5" s="4"/>
    </row>
    <row r="6" spans="1:8" ht="16" x14ac:dyDescent="0.2">
      <c r="A6" s="16" t="s">
        <v>25</v>
      </c>
      <c r="B6" s="16" t="s">
        <v>26</v>
      </c>
      <c r="C6" s="16" t="s">
        <v>30</v>
      </c>
      <c r="D6" s="17"/>
      <c r="E6" s="13"/>
      <c r="F6" s="21"/>
      <c r="G6" s="23"/>
      <c r="H6" s="4"/>
    </row>
    <row r="7" spans="1:8" ht="16" x14ac:dyDescent="0.2">
      <c r="A7" s="16" t="s">
        <v>28</v>
      </c>
      <c r="B7" s="16" t="s">
        <v>29</v>
      </c>
      <c r="C7" s="16" t="s">
        <v>33</v>
      </c>
      <c r="D7" s="17"/>
      <c r="E7" s="13"/>
      <c r="F7" s="21"/>
      <c r="G7" s="23"/>
      <c r="H7" s="4"/>
    </row>
    <row r="8" spans="1:8" ht="16" x14ac:dyDescent="0.2">
      <c r="A8" s="16" t="s">
        <v>31</v>
      </c>
      <c r="B8" s="16" t="s">
        <v>26</v>
      </c>
      <c r="C8" s="16" t="s">
        <v>27</v>
      </c>
      <c r="D8" s="17"/>
      <c r="E8" s="17"/>
      <c r="F8" s="21"/>
      <c r="G8" s="21"/>
    </row>
    <row r="9" spans="1:8" ht="16" x14ac:dyDescent="0.2">
      <c r="A9" s="16" t="s">
        <v>32</v>
      </c>
      <c r="B9" s="16" t="s">
        <v>29</v>
      </c>
      <c r="C9" s="16" t="s">
        <v>33</v>
      </c>
      <c r="D9" s="17"/>
      <c r="E9" s="17"/>
      <c r="F9" s="21"/>
      <c r="G9" s="21"/>
    </row>
    <row r="10" spans="1:8" ht="19" x14ac:dyDescent="0.25">
      <c r="A10" s="126" t="s">
        <v>20</v>
      </c>
      <c r="B10" s="127"/>
      <c r="C10" s="127"/>
      <c r="D10" s="127"/>
      <c r="E10" s="17"/>
      <c r="F10" s="21"/>
      <c r="G10" s="21"/>
    </row>
    <row r="11" spans="1:8" ht="16" x14ac:dyDescent="0.2">
      <c r="A11" s="11" t="s">
        <v>127</v>
      </c>
      <c r="B11" s="11" t="s">
        <v>133</v>
      </c>
      <c r="C11" s="11" t="s">
        <v>312</v>
      </c>
      <c r="D11" s="11" t="s">
        <v>313</v>
      </c>
      <c r="E11" s="17"/>
      <c r="F11" s="21"/>
      <c r="G11" s="21"/>
    </row>
    <row r="12" spans="1:8" ht="16" x14ac:dyDescent="0.2">
      <c r="A12" s="11" t="s">
        <v>218</v>
      </c>
      <c r="B12" s="116" t="s">
        <v>428</v>
      </c>
      <c r="C12" s="11">
        <f>(D19+D22)/2</f>
        <v>3600</v>
      </c>
      <c r="D12" s="16">
        <f>C12*12</f>
        <v>43200</v>
      </c>
      <c r="E12" s="17"/>
      <c r="F12" s="21"/>
      <c r="G12" s="21"/>
    </row>
    <row r="13" spans="1:8" ht="16" x14ac:dyDescent="0.2">
      <c r="A13" s="11" t="s">
        <v>219</v>
      </c>
      <c r="B13" s="16" t="s">
        <v>296</v>
      </c>
      <c r="C13" s="16">
        <f>(D19+D22+D23+D20)*1.03</f>
        <v>12205.5</v>
      </c>
      <c r="D13" s="16">
        <f t="shared" ref="D13:D14" si="0">C13*12</f>
        <v>146466</v>
      </c>
      <c r="E13" s="17"/>
      <c r="F13" s="21"/>
      <c r="G13" s="21"/>
    </row>
    <row r="14" spans="1:8" ht="16" x14ac:dyDescent="0.2">
      <c r="A14" s="11" t="s">
        <v>220</v>
      </c>
      <c r="B14" s="116" t="s">
        <v>416</v>
      </c>
      <c r="C14" s="16">
        <f>(D19+D20+2*D22+D19/2)*1.03</f>
        <v>15913.5</v>
      </c>
      <c r="D14" s="16">
        <f t="shared" si="0"/>
        <v>190962</v>
      </c>
      <c r="E14" s="17"/>
      <c r="F14" s="21"/>
      <c r="G14" s="21"/>
    </row>
    <row r="15" spans="1:8" ht="16" x14ac:dyDescent="0.2">
      <c r="A15" s="17"/>
      <c r="B15" s="17"/>
      <c r="C15" s="17"/>
      <c r="D15" s="17"/>
      <c r="E15" s="17"/>
      <c r="F15" s="21"/>
      <c r="G15" s="21"/>
    </row>
    <row r="16" spans="1:8" ht="16" x14ac:dyDescent="0.2">
      <c r="A16" s="17"/>
      <c r="B16" s="17"/>
      <c r="C16" s="17"/>
      <c r="D16" s="17"/>
      <c r="E16" s="17"/>
      <c r="F16" s="21"/>
      <c r="G16" s="21"/>
    </row>
    <row r="17" spans="1:7" ht="19" x14ac:dyDescent="0.25">
      <c r="A17" s="126" t="s">
        <v>34</v>
      </c>
      <c r="B17" s="127"/>
      <c r="C17" s="127"/>
      <c r="D17" s="127"/>
      <c r="E17" s="21" t="s">
        <v>40</v>
      </c>
      <c r="F17" s="21"/>
      <c r="G17" s="21"/>
    </row>
    <row r="18" spans="1:7" ht="16" x14ac:dyDescent="0.2">
      <c r="A18" s="11" t="s">
        <v>35</v>
      </c>
      <c r="B18" s="11" t="s">
        <v>36</v>
      </c>
      <c r="C18" s="11" t="s">
        <v>311</v>
      </c>
      <c r="D18" s="11" t="s">
        <v>37</v>
      </c>
      <c r="E18" s="17"/>
      <c r="F18" s="21"/>
      <c r="G18" s="21"/>
    </row>
    <row r="19" spans="1:7" ht="16" x14ac:dyDescent="0.2">
      <c r="A19" s="16" t="s">
        <v>25</v>
      </c>
      <c r="B19" s="16">
        <v>3000</v>
      </c>
      <c r="C19" s="16">
        <f>B19*0.5</f>
        <v>1500</v>
      </c>
      <c r="D19" s="11">
        <f>B19+C19</f>
        <v>4500</v>
      </c>
      <c r="E19" s="24"/>
      <c r="F19" s="21"/>
      <c r="G19" s="21"/>
    </row>
    <row r="20" spans="1:7" ht="16" x14ac:dyDescent="0.2">
      <c r="A20" s="16" t="s">
        <v>38</v>
      </c>
      <c r="B20" s="16">
        <v>2200</v>
      </c>
      <c r="C20" s="16">
        <f>B20*0.5</f>
        <v>1100</v>
      </c>
      <c r="D20" s="11">
        <f t="shared" ref="D20:D23" si="1">B20+C20</f>
        <v>3300</v>
      </c>
      <c r="E20" s="17"/>
      <c r="F20" s="21"/>
      <c r="G20" s="21"/>
    </row>
    <row r="21" spans="1:7" ht="16" x14ac:dyDescent="0.2">
      <c r="A21" s="116" t="s">
        <v>427</v>
      </c>
      <c r="B21" s="16">
        <v>1500</v>
      </c>
      <c r="C21" s="16">
        <f>B21*0.5</f>
        <v>750</v>
      </c>
      <c r="D21" s="11">
        <f t="shared" si="1"/>
        <v>2250</v>
      </c>
      <c r="E21" s="17"/>
      <c r="F21" s="21"/>
      <c r="G21" s="21"/>
    </row>
    <row r="22" spans="1:7" ht="16" x14ac:dyDescent="0.2">
      <c r="A22" s="16" t="s">
        <v>31</v>
      </c>
      <c r="B22" s="16">
        <v>1800</v>
      </c>
      <c r="C22" s="16">
        <f>B22*0.5</f>
        <v>900</v>
      </c>
      <c r="D22" s="11">
        <f t="shared" si="1"/>
        <v>2700</v>
      </c>
      <c r="E22" s="17"/>
      <c r="F22" s="21"/>
      <c r="G22" s="21"/>
    </row>
    <row r="23" spans="1:7" ht="16" x14ac:dyDescent="0.2">
      <c r="A23" s="16" t="s">
        <v>39</v>
      </c>
      <c r="B23" s="16">
        <v>900</v>
      </c>
      <c r="C23" s="16">
        <f>B23*0.5</f>
        <v>450</v>
      </c>
      <c r="D23" s="11">
        <f t="shared" si="1"/>
        <v>1350</v>
      </c>
      <c r="E23" s="17"/>
      <c r="F23" s="21"/>
      <c r="G23" s="21"/>
    </row>
    <row r="24" spans="1:7" ht="16" x14ac:dyDescent="0.2">
      <c r="A24" s="17"/>
      <c r="B24" s="17"/>
      <c r="C24" s="17"/>
      <c r="D24" s="17"/>
      <c r="E24" s="17"/>
      <c r="F24" s="21"/>
      <c r="G24" s="21"/>
    </row>
    <row r="25" spans="1:7" ht="16" x14ac:dyDescent="0.2">
      <c r="A25" s="17"/>
      <c r="B25" s="17"/>
      <c r="C25" s="17"/>
      <c r="D25" s="17"/>
      <c r="E25" s="17"/>
      <c r="F25" s="21"/>
      <c r="G25" s="21"/>
    </row>
    <row r="26" spans="1:7" ht="19" x14ac:dyDescent="0.25">
      <c r="A26" s="52" t="s">
        <v>41</v>
      </c>
      <c r="B26" s="17"/>
      <c r="C26" s="17"/>
      <c r="D26" s="17"/>
      <c r="E26" s="17"/>
      <c r="F26" s="21"/>
      <c r="G26" s="21"/>
    </row>
    <row r="27" spans="1:7" ht="16" x14ac:dyDescent="0.2">
      <c r="A27" s="11" t="s">
        <v>42</v>
      </c>
      <c r="B27" s="11" t="s">
        <v>43</v>
      </c>
      <c r="C27" s="17"/>
      <c r="D27" s="17"/>
      <c r="E27" s="17"/>
      <c r="F27" s="21"/>
      <c r="G27" s="21"/>
    </row>
    <row r="28" spans="1:7" ht="16" x14ac:dyDescent="0.2">
      <c r="A28" s="16" t="s">
        <v>44</v>
      </c>
      <c r="B28" s="16">
        <v>250</v>
      </c>
      <c r="C28" s="17"/>
      <c r="D28" s="17"/>
      <c r="E28" s="17"/>
      <c r="F28" s="21"/>
      <c r="G28" s="21"/>
    </row>
    <row r="29" spans="1:7" ht="16" x14ac:dyDescent="0.2">
      <c r="A29" s="16" t="s">
        <v>45</v>
      </c>
      <c r="B29" s="16">
        <v>60</v>
      </c>
      <c r="C29" s="17"/>
      <c r="D29" s="17"/>
      <c r="E29" s="17"/>
      <c r="F29" s="21"/>
      <c r="G29" s="21"/>
    </row>
    <row r="30" spans="1:7" ht="16" x14ac:dyDescent="0.2">
      <c r="A30" s="16" t="s">
        <v>46</v>
      </c>
      <c r="B30" s="16">
        <v>150</v>
      </c>
      <c r="C30" s="17"/>
      <c r="D30" s="17"/>
      <c r="E30" s="17"/>
      <c r="F30" s="21"/>
      <c r="G30" s="21"/>
    </row>
    <row r="31" spans="1:7" ht="16" x14ac:dyDescent="0.2">
      <c r="A31" s="16" t="s">
        <v>47</v>
      </c>
      <c r="B31" s="16">
        <v>350</v>
      </c>
      <c r="C31" s="17"/>
      <c r="D31" s="17"/>
      <c r="E31" s="17"/>
      <c r="F31" s="21"/>
      <c r="G31" s="21"/>
    </row>
    <row r="32" spans="1:7" ht="16" x14ac:dyDescent="0.2">
      <c r="A32" s="11" t="s">
        <v>48</v>
      </c>
      <c r="B32" s="25" t="s">
        <v>128</v>
      </c>
      <c r="C32" s="17"/>
      <c r="D32" s="17"/>
      <c r="E32" s="17"/>
      <c r="F32" s="21"/>
      <c r="G32" s="21"/>
    </row>
    <row r="33" spans="1:7" ht="16" x14ac:dyDescent="0.2">
      <c r="A33" s="14"/>
      <c r="B33" s="17"/>
      <c r="C33" s="17"/>
      <c r="D33" s="17"/>
      <c r="E33" s="17"/>
      <c r="F33" s="21"/>
      <c r="G33" s="21"/>
    </row>
    <row r="34" spans="1:7" ht="16" x14ac:dyDescent="0.2">
      <c r="A34" s="17"/>
      <c r="B34" s="17"/>
      <c r="C34" s="17"/>
      <c r="D34" s="17"/>
      <c r="E34" s="17"/>
      <c r="F34" s="21"/>
      <c r="G34" s="21"/>
    </row>
    <row r="35" spans="1:7" ht="16" x14ac:dyDescent="0.2">
      <c r="A35" s="17"/>
      <c r="B35" s="17"/>
      <c r="C35" s="17"/>
      <c r="D35" s="17"/>
      <c r="E35" s="17"/>
      <c r="F35" s="21"/>
      <c r="G35" s="21"/>
    </row>
    <row r="36" spans="1:7" ht="16" x14ac:dyDescent="0.2">
      <c r="A36" s="17"/>
      <c r="B36" s="17"/>
      <c r="C36" s="17"/>
      <c r="D36" s="17"/>
      <c r="E36" s="17"/>
      <c r="F36" s="21"/>
      <c r="G36" s="21"/>
    </row>
    <row r="37" spans="1:7" ht="19" x14ac:dyDescent="0.25">
      <c r="A37" s="131" t="s">
        <v>67</v>
      </c>
      <c r="B37" s="132"/>
      <c r="C37" s="17"/>
      <c r="D37" s="17"/>
      <c r="E37" s="17"/>
      <c r="F37" s="21"/>
      <c r="G37" s="21"/>
    </row>
    <row r="38" spans="1:7" ht="19" x14ac:dyDescent="0.25">
      <c r="A38" s="133" t="s">
        <v>86</v>
      </c>
      <c r="B38" s="133"/>
      <c r="C38" s="17"/>
      <c r="D38" s="17"/>
      <c r="E38" s="17"/>
      <c r="F38" s="21"/>
      <c r="G38" s="21"/>
    </row>
    <row r="39" spans="1:7" ht="16" x14ac:dyDescent="0.2">
      <c r="A39" s="18" t="s">
        <v>35</v>
      </c>
      <c r="B39" s="18" t="s">
        <v>182</v>
      </c>
      <c r="C39" s="26"/>
      <c r="D39" s="26"/>
      <c r="E39" s="17"/>
      <c r="F39" s="21"/>
      <c r="G39" s="21"/>
    </row>
    <row r="40" spans="1:7" ht="16" x14ac:dyDescent="0.2">
      <c r="A40" s="19" t="s">
        <v>75</v>
      </c>
      <c r="B40" s="19">
        <v>35000</v>
      </c>
      <c r="C40" s="53"/>
      <c r="D40" s="17"/>
      <c r="E40" s="17"/>
      <c r="F40" s="21"/>
      <c r="G40" s="21"/>
    </row>
    <row r="41" spans="1:7" ht="16" x14ac:dyDescent="0.2">
      <c r="A41" s="19" t="s">
        <v>76</v>
      </c>
      <c r="B41" s="19">
        <v>30000</v>
      </c>
      <c r="C41" s="17"/>
      <c r="D41" s="17"/>
      <c r="E41" s="17"/>
      <c r="F41" s="21"/>
      <c r="G41" s="21"/>
    </row>
    <row r="42" spans="1:7" ht="16" x14ac:dyDescent="0.2">
      <c r="A42" s="19" t="s">
        <v>77</v>
      </c>
      <c r="B42" s="19">
        <v>18000</v>
      </c>
      <c r="C42" s="17"/>
      <c r="D42" s="17"/>
      <c r="E42" s="17"/>
      <c r="F42" s="21"/>
      <c r="G42" s="21"/>
    </row>
    <row r="43" spans="1:7" ht="16" x14ac:dyDescent="0.2">
      <c r="A43" s="19" t="s">
        <v>78</v>
      </c>
      <c r="B43" s="19">
        <v>3500</v>
      </c>
      <c r="C43" s="17"/>
      <c r="D43" s="17"/>
      <c r="E43" s="17"/>
      <c r="F43" s="21"/>
      <c r="G43" s="21"/>
    </row>
    <row r="44" spans="1:7" ht="16" x14ac:dyDescent="0.2">
      <c r="A44" s="19" t="s">
        <v>79</v>
      </c>
      <c r="B44" s="19">
        <v>12000</v>
      </c>
      <c r="C44" s="53"/>
      <c r="D44" s="17"/>
      <c r="E44" s="17"/>
      <c r="F44" s="21"/>
      <c r="G44" s="21"/>
    </row>
    <row r="45" spans="1:7" ht="16" x14ac:dyDescent="0.2">
      <c r="A45" s="19" t="s">
        <v>80</v>
      </c>
      <c r="B45" s="19">
        <v>1000</v>
      </c>
      <c r="C45" s="17"/>
      <c r="D45" s="17"/>
      <c r="E45" s="17"/>
      <c r="F45" s="21"/>
      <c r="G45" s="21"/>
    </row>
    <row r="46" spans="1:7" ht="16" x14ac:dyDescent="0.2">
      <c r="A46" s="19" t="s">
        <v>81</v>
      </c>
      <c r="B46" s="19">
        <v>1200</v>
      </c>
      <c r="C46" s="17"/>
      <c r="D46" s="17"/>
      <c r="E46" s="17"/>
      <c r="F46" s="21"/>
      <c r="G46" s="21"/>
    </row>
    <row r="47" spans="1:7" ht="16" x14ac:dyDescent="0.2">
      <c r="A47" s="19" t="s">
        <v>82</v>
      </c>
      <c r="B47" s="19">
        <v>1500</v>
      </c>
      <c r="C47" s="53"/>
      <c r="D47" s="17"/>
      <c r="E47" s="17"/>
      <c r="F47" s="21"/>
      <c r="G47" s="21"/>
    </row>
    <row r="48" spans="1:7" ht="16" x14ac:dyDescent="0.2">
      <c r="A48" s="19" t="s">
        <v>83</v>
      </c>
      <c r="B48" s="19">
        <v>800</v>
      </c>
      <c r="C48" s="17"/>
      <c r="D48" s="17"/>
      <c r="E48" s="17"/>
      <c r="F48" s="21"/>
      <c r="G48" s="21"/>
    </row>
    <row r="49" spans="1:7" ht="16" x14ac:dyDescent="0.2">
      <c r="A49" s="19" t="s">
        <v>84</v>
      </c>
      <c r="B49" s="19">
        <v>1000</v>
      </c>
      <c r="C49" s="17"/>
      <c r="D49" s="17"/>
      <c r="E49" s="17"/>
      <c r="F49" s="21"/>
      <c r="G49" s="21"/>
    </row>
    <row r="50" spans="1:7" ht="16" x14ac:dyDescent="0.2">
      <c r="A50" s="19" t="s">
        <v>85</v>
      </c>
      <c r="B50" s="19">
        <v>2500</v>
      </c>
      <c r="C50" s="17"/>
      <c r="D50" s="17"/>
      <c r="E50" s="17"/>
      <c r="F50" s="21"/>
      <c r="G50" s="21"/>
    </row>
    <row r="51" spans="1:7" ht="16" x14ac:dyDescent="0.2">
      <c r="A51" s="19" t="s">
        <v>265</v>
      </c>
      <c r="B51" s="19">
        <v>14000</v>
      </c>
      <c r="C51" s="53"/>
      <c r="D51" s="17"/>
      <c r="E51" s="17"/>
      <c r="F51" s="21"/>
      <c r="G51" s="21"/>
    </row>
    <row r="52" spans="1:7" ht="16" x14ac:dyDescent="0.2">
      <c r="A52" s="19" t="s">
        <v>383</v>
      </c>
      <c r="B52" s="19">
        <v>15000</v>
      </c>
      <c r="C52" s="53"/>
      <c r="D52" s="17"/>
      <c r="E52" s="17"/>
      <c r="F52" s="21"/>
      <c r="G52" s="21"/>
    </row>
    <row r="53" spans="1:7" ht="16" x14ac:dyDescent="0.2">
      <c r="A53" s="20" t="s">
        <v>48</v>
      </c>
      <c r="B53" s="19">
        <f>SUM(B40:B52)</f>
        <v>135500</v>
      </c>
      <c r="C53" s="17"/>
      <c r="D53" s="17"/>
      <c r="E53" s="17"/>
      <c r="F53" s="21"/>
      <c r="G53" s="21"/>
    </row>
    <row r="54" spans="1:7" ht="16" x14ac:dyDescent="0.2">
      <c r="A54" s="17"/>
      <c r="B54" s="17"/>
      <c r="C54" s="17"/>
      <c r="D54" s="17"/>
      <c r="E54" s="17"/>
      <c r="F54" s="21"/>
      <c r="G54" s="21"/>
    </row>
    <row r="55" spans="1:7" ht="16" x14ac:dyDescent="0.2">
      <c r="A55" s="17"/>
      <c r="B55" s="17"/>
      <c r="C55" s="17"/>
      <c r="D55" s="17"/>
      <c r="E55" s="17"/>
      <c r="F55" s="21"/>
      <c r="G55" s="21"/>
    </row>
    <row r="56" spans="1:7" ht="16" x14ac:dyDescent="0.2">
      <c r="A56" s="17"/>
      <c r="B56" s="17"/>
      <c r="C56" s="17"/>
      <c r="D56" s="17"/>
      <c r="E56" s="17"/>
      <c r="F56" s="21"/>
      <c r="G56" s="21"/>
    </row>
    <row r="57" spans="1:7" ht="16" x14ac:dyDescent="0.2">
      <c r="A57" s="17"/>
      <c r="B57" s="17"/>
      <c r="C57" s="17"/>
      <c r="D57" s="17"/>
      <c r="E57" s="17"/>
      <c r="F57" s="21"/>
      <c r="G57" s="21"/>
    </row>
    <row r="58" spans="1:7" ht="16" x14ac:dyDescent="0.2">
      <c r="A58" s="130" t="s">
        <v>87</v>
      </c>
      <c r="B58" s="130"/>
      <c r="C58" s="17"/>
      <c r="D58" s="17"/>
      <c r="E58" s="17"/>
      <c r="F58" s="21"/>
      <c r="G58" s="21"/>
    </row>
    <row r="59" spans="1:7" ht="16" x14ac:dyDescent="0.2">
      <c r="A59" s="27" t="s">
        <v>88</v>
      </c>
      <c r="B59" s="27" t="s">
        <v>89</v>
      </c>
      <c r="C59" s="17"/>
      <c r="D59" s="17"/>
      <c r="E59" s="17"/>
      <c r="F59" s="21"/>
      <c r="G59" s="21"/>
    </row>
    <row r="60" spans="1:7" ht="16" x14ac:dyDescent="0.2">
      <c r="A60" s="16" t="s">
        <v>76</v>
      </c>
      <c r="B60" s="16">
        <v>7</v>
      </c>
      <c r="C60" s="17"/>
      <c r="D60" s="17"/>
      <c r="E60" s="17"/>
      <c r="F60" s="21"/>
      <c r="G60" s="21"/>
    </row>
    <row r="61" spans="1:7" ht="16" x14ac:dyDescent="0.2">
      <c r="A61" s="16" t="s">
        <v>77</v>
      </c>
      <c r="B61" s="16">
        <v>5</v>
      </c>
      <c r="C61" s="17"/>
      <c r="D61" s="17"/>
      <c r="E61" s="17"/>
      <c r="F61" s="21"/>
      <c r="G61" s="21"/>
    </row>
    <row r="62" spans="1:7" ht="16" x14ac:dyDescent="0.2">
      <c r="A62" s="16" t="s">
        <v>78</v>
      </c>
      <c r="B62" s="16">
        <v>1</v>
      </c>
      <c r="C62" s="17"/>
      <c r="D62" s="17"/>
      <c r="E62" s="17"/>
      <c r="F62" s="21"/>
      <c r="G62" s="21"/>
    </row>
    <row r="63" spans="1:7" ht="16" x14ac:dyDescent="0.2">
      <c r="A63" s="16" t="s">
        <v>80</v>
      </c>
      <c r="B63" s="16">
        <v>2</v>
      </c>
      <c r="C63" s="17"/>
      <c r="D63" s="17"/>
      <c r="E63" s="17"/>
      <c r="F63" s="21"/>
      <c r="G63" s="21"/>
    </row>
    <row r="64" spans="1:7" ht="16" x14ac:dyDescent="0.2">
      <c r="A64" s="16" t="s">
        <v>81</v>
      </c>
      <c r="B64" s="16">
        <v>1</v>
      </c>
      <c r="C64" s="17"/>
      <c r="D64" s="17"/>
      <c r="E64" s="17"/>
      <c r="F64" s="21"/>
      <c r="G64" s="21"/>
    </row>
    <row r="65" spans="1:7" ht="16" x14ac:dyDescent="0.2">
      <c r="A65" s="16" t="s">
        <v>83</v>
      </c>
      <c r="B65" s="16">
        <v>1</v>
      </c>
      <c r="C65" s="17"/>
      <c r="D65" s="17"/>
      <c r="E65" s="17"/>
      <c r="F65" s="21"/>
      <c r="G65" s="21"/>
    </row>
    <row r="66" spans="1:7" ht="16" x14ac:dyDescent="0.2">
      <c r="A66" s="16" t="s">
        <v>84</v>
      </c>
      <c r="B66" s="16">
        <v>3</v>
      </c>
      <c r="C66" s="17"/>
      <c r="D66" s="17"/>
      <c r="E66" s="17"/>
      <c r="F66" s="21"/>
      <c r="G66" s="21"/>
    </row>
    <row r="67" spans="1:7" ht="16" x14ac:dyDescent="0.2">
      <c r="A67" s="16" t="s">
        <v>85</v>
      </c>
      <c r="B67" s="16">
        <v>3</v>
      </c>
      <c r="C67" s="17"/>
      <c r="D67" s="17"/>
      <c r="E67" s="17"/>
      <c r="F67" s="21"/>
      <c r="G67" s="21"/>
    </row>
    <row r="68" spans="1:7" ht="16" x14ac:dyDescent="0.2">
      <c r="A68" s="17"/>
      <c r="B68" s="17"/>
      <c r="C68" s="17"/>
      <c r="D68" s="17"/>
      <c r="E68" s="17"/>
      <c r="F68" s="21"/>
      <c r="G68" s="21"/>
    </row>
    <row r="69" spans="1:7" ht="16" x14ac:dyDescent="0.2">
      <c r="A69" s="17"/>
      <c r="B69" s="17"/>
      <c r="C69" s="17"/>
      <c r="D69" s="17"/>
      <c r="E69" s="17"/>
      <c r="F69" s="21"/>
      <c r="G69" s="21"/>
    </row>
    <row r="70" spans="1:7" ht="19" x14ac:dyDescent="0.25">
      <c r="A70" s="134" t="s">
        <v>90</v>
      </c>
      <c r="B70" s="135"/>
      <c r="C70" s="17"/>
      <c r="D70" s="17"/>
      <c r="E70" s="17"/>
      <c r="F70" s="21"/>
      <c r="G70" s="21"/>
    </row>
    <row r="71" spans="1:7" ht="16" x14ac:dyDescent="0.2">
      <c r="A71" s="17"/>
      <c r="B71" s="17"/>
      <c r="C71" s="17"/>
      <c r="D71" s="17"/>
      <c r="E71" s="17"/>
      <c r="F71" s="21"/>
      <c r="G71" s="21"/>
    </row>
    <row r="72" spans="1:7" ht="16" x14ac:dyDescent="0.2">
      <c r="A72" s="130" t="s">
        <v>91</v>
      </c>
      <c r="B72" s="130"/>
      <c r="C72" s="17"/>
      <c r="D72" s="17"/>
      <c r="E72" s="17"/>
      <c r="F72" s="21"/>
      <c r="G72" s="21"/>
    </row>
    <row r="73" spans="1:7" ht="16" x14ac:dyDescent="0.2">
      <c r="A73" s="11" t="s">
        <v>92</v>
      </c>
      <c r="B73" s="30" t="s">
        <v>93</v>
      </c>
      <c r="C73" s="13"/>
      <c r="D73" s="17"/>
      <c r="E73" s="17"/>
      <c r="F73" s="21"/>
      <c r="G73" s="21"/>
    </row>
    <row r="74" spans="1:7" ht="16" x14ac:dyDescent="0.2">
      <c r="A74" s="16" t="s">
        <v>94</v>
      </c>
      <c r="B74" s="16">
        <v>0.12</v>
      </c>
      <c r="C74" s="17"/>
      <c r="D74" s="17"/>
      <c r="E74" s="17"/>
      <c r="F74" s="21"/>
      <c r="G74" s="21"/>
    </row>
    <row r="75" spans="1:7" ht="16" x14ac:dyDescent="0.2">
      <c r="A75" s="16" t="s">
        <v>95</v>
      </c>
      <c r="B75" s="16">
        <v>0.21</v>
      </c>
      <c r="C75" s="17"/>
      <c r="D75" s="17"/>
      <c r="E75" s="17"/>
      <c r="F75" s="21"/>
      <c r="G75" s="21"/>
    </row>
    <row r="76" spans="1:7" ht="16" x14ac:dyDescent="0.2">
      <c r="A76" s="17"/>
      <c r="B76" s="17"/>
      <c r="C76" s="17"/>
      <c r="D76" s="17"/>
      <c r="E76" s="17"/>
      <c r="F76" s="21"/>
      <c r="G76" s="21"/>
    </row>
    <row r="77" spans="1:7" ht="16" x14ac:dyDescent="0.2">
      <c r="A77" s="17"/>
      <c r="B77" s="17"/>
      <c r="C77" s="17"/>
      <c r="D77" s="17"/>
      <c r="E77" s="17"/>
      <c r="F77" s="21"/>
      <c r="G77" s="21"/>
    </row>
    <row r="78" spans="1:7" ht="16" x14ac:dyDescent="0.2">
      <c r="A78" s="128" t="s">
        <v>96</v>
      </c>
      <c r="B78" s="129"/>
      <c r="C78" s="17"/>
      <c r="D78" s="17"/>
      <c r="E78" s="17"/>
      <c r="F78" s="21"/>
      <c r="G78" s="21"/>
    </row>
    <row r="79" spans="1:7" ht="16" x14ac:dyDescent="0.2">
      <c r="A79" s="11" t="s">
        <v>97</v>
      </c>
      <c r="B79" s="30" t="s">
        <v>98</v>
      </c>
      <c r="C79" s="13"/>
      <c r="D79" s="17"/>
      <c r="E79" s="17"/>
      <c r="F79" s="21"/>
      <c r="G79" s="21"/>
    </row>
    <row r="80" spans="1:7" ht="16" x14ac:dyDescent="0.2">
      <c r="A80" s="16" t="s">
        <v>99</v>
      </c>
      <c r="B80" s="16">
        <v>0.25</v>
      </c>
      <c r="C80" s="17"/>
      <c r="D80" s="17"/>
      <c r="E80" s="17"/>
      <c r="F80" s="21"/>
      <c r="G80" s="21"/>
    </row>
    <row r="81" spans="1:7" ht="16" x14ac:dyDescent="0.2">
      <c r="A81" s="17"/>
      <c r="B81" s="17"/>
      <c r="C81" s="17"/>
      <c r="D81" s="17"/>
      <c r="E81" s="17"/>
      <c r="F81" s="21"/>
      <c r="G81" s="21"/>
    </row>
    <row r="82" spans="1:7" ht="16" x14ac:dyDescent="0.2">
      <c r="A82" s="17"/>
      <c r="B82" s="17"/>
      <c r="C82" s="17"/>
      <c r="D82" s="17"/>
      <c r="E82" s="17"/>
      <c r="F82" s="21"/>
      <c r="G82" s="21"/>
    </row>
    <row r="83" spans="1:7" ht="16" x14ac:dyDescent="0.2">
      <c r="A83" s="128" t="s">
        <v>96</v>
      </c>
      <c r="B83" s="129"/>
      <c r="C83" s="17"/>
      <c r="D83" s="17"/>
      <c r="E83" s="17"/>
      <c r="F83" s="21"/>
      <c r="G83" s="21"/>
    </row>
    <row r="84" spans="1:7" ht="16" x14ac:dyDescent="0.2">
      <c r="A84" s="11" t="s">
        <v>100</v>
      </c>
      <c r="B84" s="30" t="s">
        <v>314</v>
      </c>
      <c r="C84" s="13"/>
      <c r="D84" s="13"/>
      <c r="E84" s="17"/>
      <c r="F84" s="21"/>
      <c r="G84" s="21"/>
    </row>
    <row r="85" spans="1:7" ht="16" x14ac:dyDescent="0.2">
      <c r="A85" s="16" t="s">
        <v>101</v>
      </c>
      <c r="B85" s="16">
        <v>55000</v>
      </c>
      <c r="C85" s="17"/>
      <c r="D85" s="17"/>
      <c r="E85" s="17"/>
      <c r="F85" s="21"/>
      <c r="G85" s="21"/>
    </row>
    <row r="86" spans="1:7" ht="16" x14ac:dyDescent="0.2">
      <c r="A86" s="16" t="s">
        <v>102</v>
      </c>
      <c r="B86" s="16">
        <v>110000</v>
      </c>
      <c r="C86" s="17"/>
      <c r="D86" s="17"/>
      <c r="E86" s="17"/>
      <c r="F86" s="21"/>
      <c r="G86" s="21"/>
    </row>
    <row r="87" spans="1:7" ht="16" x14ac:dyDescent="0.2">
      <c r="A87" s="16" t="s">
        <v>103</v>
      </c>
      <c r="B87" s="16">
        <v>90000</v>
      </c>
      <c r="C87" s="17"/>
      <c r="D87" s="17"/>
      <c r="E87" s="17"/>
      <c r="F87" s="21"/>
      <c r="G87" s="21"/>
    </row>
    <row r="88" spans="1:7" ht="16" x14ac:dyDescent="0.2">
      <c r="A88" s="16" t="s">
        <v>104</v>
      </c>
      <c r="B88" s="16">
        <v>20000</v>
      </c>
      <c r="C88" s="17"/>
      <c r="D88" s="17"/>
      <c r="E88" s="17"/>
      <c r="F88" s="21"/>
      <c r="G88" s="21"/>
    </row>
    <row r="89" spans="1:7" ht="16" x14ac:dyDescent="0.2">
      <c r="A89" s="17"/>
      <c r="B89" s="17"/>
      <c r="C89" s="17"/>
      <c r="D89" s="17"/>
      <c r="E89" s="17"/>
      <c r="F89" s="21"/>
      <c r="G89" s="21"/>
    </row>
    <row r="90" spans="1:7" ht="16" x14ac:dyDescent="0.2">
      <c r="A90" s="128" t="s">
        <v>262</v>
      </c>
      <c r="B90" s="129"/>
      <c r="C90" s="17"/>
      <c r="D90" s="17"/>
      <c r="E90" s="17"/>
      <c r="F90" s="21"/>
      <c r="G90" s="21"/>
    </row>
    <row r="91" spans="1:7" ht="16" x14ac:dyDescent="0.2">
      <c r="A91" s="16" t="s">
        <v>263</v>
      </c>
      <c r="B91" s="16">
        <v>0.04</v>
      </c>
      <c r="C91" s="17"/>
      <c r="D91" s="17"/>
      <c r="E91" s="17"/>
      <c r="F91" s="21"/>
      <c r="G91" s="21"/>
    </row>
    <row r="92" spans="1:7" ht="16" x14ac:dyDescent="0.2">
      <c r="A92" s="16" t="s">
        <v>264</v>
      </c>
      <c r="B92" s="16">
        <v>7</v>
      </c>
      <c r="C92" s="17"/>
      <c r="D92" s="17"/>
      <c r="E92" s="17"/>
      <c r="F92" s="21"/>
      <c r="G92" s="21"/>
    </row>
    <row r="93" spans="1:7" ht="16" x14ac:dyDescent="0.2">
      <c r="A93" s="28"/>
      <c r="B93" s="17"/>
      <c r="C93" s="17"/>
      <c r="D93" s="17"/>
      <c r="E93" s="17"/>
      <c r="F93" s="21"/>
      <c r="G93" s="21"/>
    </row>
    <row r="94" spans="1:7" ht="16" x14ac:dyDescent="0.2">
      <c r="A94" s="29"/>
      <c r="B94" s="17"/>
      <c r="C94" s="17"/>
      <c r="D94" s="17"/>
      <c r="E94" s="17"/>
      <c r="F94" s="21"/>
      <c r="G94" s="21"/>
    </row>
    <row r="95" spans="1:7" ht="16" x14ac:dyDescent="0.2">
      <c r="A95" s="17"/>
      <c r="B95" s="17"/>
      <c r="C95" s="17"/>
      <c r="D95" s="17"/>
      <c r="E95" s="17"/>
      <c r="F95" s="21"/>
      <c r="G95" s="21"/>
    </row>
    <row r="96" spans="1:7" ht="16" x14ac:dyDescent="0.2">
      <c r="A96" s="13"/>
      <c r="B96" s="17"/>
      <c r="C96" s="17"/>
      <c r="D96" s="17"/>
      <c r="E96" s="17"/>
      <c r="F96" s="21"/>
      <c r="G96" s="21"/>
    </row>
    <row r="97" spans="1:7" ht="16" x14ac:dyDescent="0.2">
      <c r="A97" s="13"/>
      <c r="B97" s="13"/>
      <c r="C97" s="13"/>
      <c r="D97" s="13"/>
      <c r="E97" s="13"/>
      <c r="F97" s="1"/>
      <c r="G97" s="21"/>
    </row>
    <row r="98" spans="1:7" ht="16" x14ac:dyDescent="0.2">
      <c r="A98" s="17"/>
      <c r="B98" s="17"/>
      <c r="C98" s="17"/>
      <c r="D98" s="17"/>
      <c r="E98" s="17"/>
      <c r="F98" s="21"/>
      <c r="G98" s="21"/>
    </row>
    <row r="99" spans="1:7" ht="16" x14ac:dyDescent="0.2">
      <c r="A99" s="17"/>
      <c r="B99" s="17"/>
      <c r="C99" s="17"/>
      <c r="D99" s="17"/>
      <c r="E99" s="17"/>
      <c r="F99" s="21"/>
      <c r="G99" s="21"/>
    </row>
    <row r="100" spans="1:7" ht="16" x14ac:dyDescent="0.2">
      <c r="A100" s="17"/>
      <c r="B100" s="17"/>
      <c r="C100" s="17"/>
      <c r="D100" s="17"/>
      <c r="E100" s="17"/>
      <c r="F100" s="21"/>
      <c r="G100" s="21"/>
    </row>
    <row r="101" spans="1:7" ht="16" x14ac:dyDescent="0.2">
      <c r="A101" s="17"/>
      <c r="B101" s="17"/>
      <c r="C101" s="17"/>
      <c r="D101" s="17"/>
      <c r="E101" s="17"/>
      <c r="F101" s="21"/>
      <c r="G101" s="21"/>
    </row>
    <row r="102" spans="1:7" ht="16" x14ac:dyDescent="0.2">
      <c r="A102" s="21"/>
      <c r="B102" s="21"/>
      <c r="C102" s="21"/>
      <c r="D102" s="21"/>
      <c r="E102" s="21"/>
      <c r="F102" s="21"/>
      <c r="G102" s="21"/>
    </row>
    <row r="103" spans="1:7" ht="16" x14ac:dyDescent="0.2">
      <c r="A103" s="21"/>
      <c r="B103" s="21"/>
      <c r="C103" s="21"/>
      <c r="D103" s="21"/>
      <c r="E103" s="21"/>
      <c r="F103" s="21"/>
      <c r="G103" s="21"/>
    </row>
    <row r="104" spans="1:7" ht="16" x14ac:dyDescent="0.2">
      <c r="A104" s="21"/>
      <c r="B104" s="21"/>
      <c r="C104" s="21"/>
      <c r="D104" s="21"/>
      <c r="E104" s="21"/>
      <c r="F104" s="21"/>
      <c r="G104" s="21"/>
    </row>
    <row r="105" spans="1:7" ht="16" x14ac:dyDescent="0.2">
      <c r="A105" s="21"/>
      <c r="B105" s="21"/>
      <c r="C105" s="21"/>
      <c r="D105" s="21"/>
      <c r="E105" s="21"/>
      <c r="F105" s="21"/>
      <c r="G105" s="21"/>
    </row>
    <row r="106" spans="1:7" ht="16" x14ac:dyDescent="0.2">
      <c r="A106" s="21"/>
      <c r="B106" s="21"/>
      <c r="C106" s="21"/>
      <c r="D106" s="21"/>
      <c r="E106" s="21"/>
      <c r="F106" s="21"/>
      <c r="G106" s="21"/>
    </row>
    <row r="107" spans="1:7" ht="16" x14ac:dyDescent="0.2">
      <c r="A107" s="21"/>
      <c r="B107" s="21"/>
      <c r="C107" s="21"/>
      <c r="D107" s="21"/>
      <c r="E107" s="21"/>
      <c r="F107" s="21"/>
      <c r="G107" s="21"/>
    </row>
    <row r="108" spans="1:7" ht="16" x14ac:dyDescent="0.2">
      <c r="A108" s="21"/>
      <c r="B108" s="21"/>
      <c r="C108" s="21"/>
      <c r="D108" s="21"/>
      <c r="E108" s="21"/>
      <c r="F108" s="21"/>
      <c r="G108" s="21"/>
    </row>
    <row r="109" spans="1:7" ht="16" x14ac:dyDescent="0.2">
      <c r="A109" s="21"/>
      <c r="B109" s="21"/>
      <c r="C109" s="21"/>
      <c r="D109" s="21"/>
      <c r="E109" s="21"/>
      <c r="F109" s="21"/>
      <c r="G109" s="21"/>
    </row>
    <row r="110" spans="1:7" ht="16" x14ac:dyDescent="0.2">
      <c r="A110" s="21"/>
      <c r="B110" s="21"/>
      <c r="C110" s="21"/>
      <c r="D110" s="21"/>
      <c r="E110" s="21"/>
      <c r="F110" s="21"/>
      <c r="G110" s="21"/>
    </row>
    <row r="111" spans="1:7" ht="16" x14ac:dyDescent="0.2">
      <c r="A111" s="21"/>
      <c r="B111" s="21"/>
      <c r="C111" s="21"/>
      <c r="D111" s="21"/>
      <c r="E111" s="21"/>
      <c r="F111" s="21"/>
      <c r="G111" s="21"/>
    </row>
    <row r="112" spans="1:7" ht="16" x14ac:dyDescent="0.2">
      <c r="A112" s="21"/>
      <c r="B112" s="21"/>
      <c r="C112" s="21"/>
      <c r="D112" s="21"/>
      <c r="E112" s="21"/>
      <c r="F112" s="21"/>
      <c r="G112" s="21"/>
    </row>
    <row r="113" spans="1:7" ht="16" x14ac:dyDescent="0.2">
      <c r="A113" s="21"/>
      <c r="B113" s="21"/>
      <c r="C113" s="21"/>
      <c r="D113" s="21"/>
      <c r="E113" s="21"/>
      <c r="F113" s="21"/>
      <c r="G113" s="21"/>
    </row>
    <row r="114" spans="1:7" ht="16" x14ac:dyDescent="0.2">
      <c r="A114" s="21"/>
      <c r="B114" s="21"/>
      <c r="C114" s="21"/>
      <c r="D114" s="21"/>
      <c r="E114" s="21"/>
      <c r="F114" s="21"/>
      <c r="G114" s="21"/>
    </row>
    <row r="115" spans="1:7" ht="16" x14ac:dyDescent="0.2">
      <c r="A115" s="21"/>
      <c r="B115" s="21"/>
      <c r="C115" s="21"/>
      <c r="D115" s="21"/>
      <c r="E115" s="21"/>
      <c r="F115" s="21"/>
      <c r="G115" s="21"/>
    </row>
    <row r="116" spans="1:7" ht="16" x14ac:dyDescent="0.2">
      <c r="A116" s="21"/>
      <c r="B116" s="21"/>
      <c r="C116" s="21"/>
      <c r="D116" s="21"/>
      <c r="E116" s="21"/>
      <c r="F116" s="21"/>
      <c r="G116" s="21"/>
    </row>
    <row r="117" spans="1:7" ht="16" x14ac:dyDescent="0.2">
      <c r="A117" s="21"/>
      <c r="B117" s="21"/>
      <c r="C117" s="21"/>
      <c r="D117" s="21"/>
      <c r="E117" s="21"/>
      <c r="F117" s="21"/>
      <c r="G117" s="21"/>
    </row>
    <row r="118" spans="1:7" ht="16" x14ac:dyDescent="0.2">
      <c r="A118" s="21"/>
      <c r="B118" s="21"/>
      <c r="C118" s="21"/>
      <c r="D118" s="21"/>
      <c r="E118" s="21"/>
      <c r="F118" s="21"/>
      <c r="G118" s="21"/>
    </row>
  </sheetData>
  <mergeCells count="10">
    <mergeCell ref="A10:D10"/>
    <mergeCell ref="A17:D17"/>
    <mergeCell ref="A83:B83"/>
    <mergeCell ref="A90:B90"/>
    <mergeCell ref="A58:B58"/>
    <mergeCell ref="A37:B37"/>
    <mergeCell ref="A38:B38"/>
    <mergeCell ref="A70:B70"/>
    <mergeCell ref="A72:B72"/>
    <mergeCell ref="A78:B7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BA9BD-99A7-8740-947D-E2547C42822B}">
  <dimension ref="A1:N166"/>
  <sheetViews>
    <sheetView tabSelected="1" topLeftCell="A158" zoomScale="75" workbookViewId="0">
      <selection activeCell="E6" sqref="E6:F6"/>
    </sheetView>
  </sheetViews>
  <sheetFormatPr baseColWidth="10" defaultRowHeight="15" x14ac:dyDescent="0.2"/>
  <cols>
    <col min="1" max="1" width="34.6640625" customWidth="1"/>
    <col min="2" max="2" width="29.1640625" customWidth="1"/>
    <col min="3" max="5" width="22.83203125" customWidth="1"/>
    <col min="6" max="6" width="15.1640625" customWidth="1"/>
    <col min="7" max="7" width="16.83203125" customWidth="1"/>
    <col min="8" max="8" width="17.33203125" customWidth="1"/>
    <col min="13" max="13" width="19.33203125" customWidth="1"/>
    <col min="14" max="14" width="13.83203125" customWidth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x14ac:dyDescent="0.2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x14ac:dyDescent="0.2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9" x14ac:dyDescent="0.25">
      <c r="A4" s="15" t="s">
        <v>418</v>
      </c>
      <c r="B4" s="12"/>
      <c r="C4" s="8"/>
      <c r="D4" s="8"/>
      <c r="E4" s="8"/>
      <c r="F4" s="8"/>
      <c r="G4" s="8"/>
      <c r="H4" s="8"/>
      <c r="I4" s="8"/>
      <c r="J4" s="8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x14ac:dyDescent="0.2">
      <c r="A6" s="12"/>
      <c r="B6" s="12"/>
      <c r="C6" s="12"/>
      <c r="D6" s="12"/>
      <c r="E6" s="154"/>
      <c r="F6" s="154"/>
      <c r="G6" s="8"/>
      <c r="H6" s="8"/>
      <c r="I6" s="8"/>
      <c r="J6" s="8"/>
    </row>
    <row r="7" spans="1:10" ht="19" x14ac:dyDescent="0.25">
      <c r="A7" s="127" t="s">
        <v>290</v>
      </c>
      <c r="B7" s="127"/>
      <c r="C7" s="127"/>
      <c r="D7" s="127"/>
      <c r="E7" s="127"/>
      <c r="F7" s="127"/>
      <c r="G7" s="127"/>
      <c r="H7" s="127"/>
      <c r="I7" s="8"/>
      <c r="J7" s="8"/>
    </row>
    <row r="8" spans="1:10" ht="16" x14ac:dyDescent="0.2">
      <c r="A8" s="11" t="s">
        <v>4</v>
      </c>
      <c r="B8" s="11" t="s">
        <v>222</v>
      </c>
      <c r="C8" s="11" t="s">
        <v>267</v>
      </c>
      <c r="D8" s="11" t="s">
        <v>195</v>
      </c>
      <c r="E8" s="11" t="s">
        <v>291</v>
      </c>
      <c r="F8" s="11" t="s">
        <v>221</v>
      </c>
      <c r="G8" s="11" t="s">
        <v>292</v>
      </c>
      <c r="H8" s="11" t="s">
        <v>223</v>
      </c>
      <c r="I8" s="8"/>
      <c r="J8" s="8"/>
    </row>
    <row r="9" spans="1:10" ht="16" x14ac:dyDescent="0.2">
      <c r="A9" s="54" t="s">
        <v>226</v>
      </c>
      <c r="B9" s="54">
        <f>'Coûts &amp; variables'!$B$102</f>
        <v>11620</v>
      </c>
      <c r="C9" s="54">
        <f>CA!F71</f>
        <v>11640.239999721023</v>
      </c>
      <c r="D9" s="81">
        <f>'Coûts &amp; variables'!K45</f>
        <v>3475.8050397350025</v>
      </c>
      <c r="E9" s="54">
        <f>'Résultat exploitation'!E33</f>
        <v>2222.2314879999999</v>
      </c>
      <c r="F9" s="54">
        <f>D9+E9</f>
        <v>5698.0365277350029</v>
      </c>
      <c r="G9" s="54">
        <f>'Coûts &amp; variables'!N45</f>
        <v>8164.4349599860207</v>
      </c>
      <c r="H9" s="54">
        <f>(B9/(G9/C9))</f>
        <v>16566.925875417826</v>
      </c>
      <c r="I9" s="37"/>
      <c r="J9" s="8"/>
    </row>
    <row r="10" spans="1:10" ht="16" x14ac:dyDescent="0.2">
      <c r="A10" s="54" t="s">
        <v>228</v>
      </c>
      <c r="B10" s="54">
        <f>'Coûts &amp; variables'!$B$102</f>
        <v>11620</v>
      </c>
      <c r="C10" s="54">
        <f>CA!F72</f>
        <v>13162.730481502716</v>
      </c>
      <c r="D10" s="54">
        <f>'Coûts &amp; variables'!K46</f>
        <v>3930.4245398185249</v>
      </c>
      <c r="E10" s="54">
        <f>'Résultat exploitation'!E34</f>
        <v>2244.75858376</v>
      </c>
      <c r="F10" s="54">
        <f t="shared" ref="F10:F44" si="0">D10+E10</f>
        <v>6175.1831235785248</v>
      </c>
      <c r="G10" s="54">
        <f>'Coûts &amp; variables'!N46</f>
        <v>9232.3059416841916</v>
      </c>
      <c r="H10" s="54">
        <f t="shared" ref="H10:H44" si="1">(B10/(G10/C10))</f>
        <v>16566.925875417826</v>
      </c>
      <c r="I10" s="8"/>
      <c r="J10" s="8"/>
    </row>
    <row r="11" spans="1:10" ht="16" x14ac:dyDescent="0.2">
      <c r="A11" s="54" t="s">
        <v>229</v>
      </c>
      <c r="B11" s="54">
        <f>'Coûts &amp; variables'!$B$102</f>
        <v>11620</v>
      </c>
      <c r="C11" s="54">
        <f>CA!F73</f>
        <v>15599.905731444307</v>
      </c>
      <c r="D11" s="54">
        <f>'Coûts &amp; variables'!K47</f>
        <v>4658.1712200130414</v>
      </c>
      <c r="E11" s="54">
        <f>'Résultat exploitation'!E35</f>
        <v>2280.81955156</v>
      </c>
      <c r="F11" s="54">
        <f t="shared" si="0"/>
        <v>6938.9907715730415</v>
      </c>
      <c r="G11" s="54">
        <f>'Coûts &amp; variables'!N47</f>
        <v>10941.734511431267</v>
      </c>
      <c r="H11" s="54">
        <f t="shared" si="1"/>
        <v>16566.925875417826</v>
      </c>
      <c r="I11" s="8"/>
      <c r="J11" s="8"/>
    </row>
    <row r="12" spans="1:10" ht="16" x14ac:dyDescent="0.2">
      <c r="A12" s="54" t="s">
        <v>230</v>
      </c>
      <c r="B12" s="54">
        <f>'Coûts &amp; variables'!$B$102</f>
        <v>11620</v>
      </c>
      <c r="C12" s="54">
        <f>CA!F74</f>
        <v>17357.185145038551</v>
      </c>
      <c r="D12" s="54">
        <f>'Coûts &amp; variables'!K48</f>
        <v>5182.8992876593984</v>
      </c>
      <c r="E12" s="54">
        <f>'Résultat exploitation'!E36</f>
        <v>2306.8206347199998</v>
      </c>
      <c r="F12" s="54">
        <f t="shared" si="0"/>
        <v>7489.7199223793978</v>
      </c>
      <c r="G12" s="54">
        <f>'Coûts &amp; variables'!N48</f>
        <v>12174.285857379153</v>
      </c>
      <c r="H12" s="54">
        <f t="shared" si="1"/>
        <v>16566.925875417826</v>
      </c>
      <c r="I12" s="8"/>
      <c r="J12" s="8"/>
    </row>
    <row r="13" spans="1:10" ht="16" x14ac:dyDescent="0.2">
      <c r="A13" s="54" t="s">
        <v>231</v>
      </c>
      <c r="B13" s="54">
        <f>'Coûts &amp; variables'!$B$102</f>
        <v>11620</v>
      </c>
      <c r="C13" s="54">
        <f>CA!F75</f>
        <v>19207.057376812394</v>
      </c>
      <c r="D13" s="54">
        <f>'Coûts &amp; variables'!K49</f>
        <v>5735.2758044854663</v>
      </c>
      <c r="E13" s="54">
        <f>'Résultat exploitation'!E37</f>
        <v>2334.1917410799997</v>
      </c>
      <c r="F13" s="54">
        <f t="shared" si="0"/>
        <v>8069.467545565466</v>
      </c>
      <c r="G13" s="54">
        <f>'Coûts &amp; variables'!N49</f>
        <v>13471.781572326927</v>
      </c>
      <c r="H13" s="54">
        <f t="shared" si="1"/>
        <v>16566.925875417826</v>
      </c>
      <c r="I13" s="8"/>
      <c r="J13" s="8"/>
    </row>
    <row r="14" spans="1:10" ht="16" x14ac:dyDescent="0.2">
      <c r="A14" s="54" t="s">
        <v>232</v>
      </c>
      <c r="B14" s="54">
        <f>'Coûts &amp; variables'!$B$102</f>
        <v>11620</v>
      </c>
      <c r="C14" s="54">
        <f>CA!F76</f>
        <v>19357.19001771789</v>
      </c>
      <c r="D14" s="54">
        <f>'Coûts &amp; variables'!K50</f>
        <v>5780.1057899411408</v>
      </c>
      <c r="E14" s="54">
        <f>'Résultat exploitation'!E38</f>
        <v>2336.41313584</v>
      </c>
      <c r="F14" s="54">
        <f t="shared" si="0"/>
        <v>8116.5189257811408</v>
      </c>
      <c r="G14" s="54">
        <f>'Coûts &amp; variables'!N50</f>
        <v>13577.08422777675</v>
      </c>
      <c r="H14" s="54">
        <f t="shared" si="1"/>
        <v>16566.925875417826</v>
      </c>
      <c r="I14" s="8"/>
      <c r="J14" s="8"/>
    </row>
    <row r="15" spans="1:10" ht="16" x14ac:dyDescent="0.2">
      <c r="A15" s="54" t="s">
        <v>233</v>
      </c>
      <c r="B15" s="54">
        <f>'Coûts &amp; variables'!$B$102</f>
        <v>11620</v>
      </c>
      <c r="C15" s="54">
        <f>CA!F77</f>
        <v>16645.543199601059</v>
      </c>
      <c r="D15" s="54">
        <f>'Coûts &amp; variables'!K51</f>
        <v>4970.4012068210541</v>
      </c>
      <c r="E15" s="54">
        <f>'Résultat exploitation'!E39</f>
        <v>2296.29102784</v>
      </c>
      <c r="F15" s="54">
        <f t="shared" si="0"/>
        <v>7266.6922346610536</v>
      </c>
      <c r="G15" s="54">
        <f>'Coûts &amp; variables'!N51</f>
        <v>11675.141992780005</v>
      </c>
      <c r="H15" s="54">
        <f t="shared" si="1"/>
        <v>16566.925875417826</v>
      </c>
      <c r="I15" s="8"/>
      <c r="J15" s="8"/>
    </row>
    <row r="16" spans="1:10" ht="16" x14ac:dyDescent="0.2">
      <c r="A16" s="54" t="s">
        <v>234</v>
      </c>
      <c r="B16" s="54">
        <f>'Coûts &amp; variables'!$B$102</f>
        <v>11620</v>
      </c>
      <c r="C16" s="54">
        <f>CA!F78</f>
        <v>15277.814999633842</v>
      </c>
      <c r="D16" s="54">
        <f>'Coûts &amp; variables'!K52</f>
        <v>4561.9941146521915</v>
      </c>
      <c r="E16" s="54">
        <f>'Résultat exploitation'!E40</f>
        <v>2276.0538280000001</v>
      </c>
      <c r="F16" s="54">
        <f t="shared" si="0"/>
        <v>6838.0479426521915</v>
      </c>
      <c r="G16" s="54">
        <f>'Coûts &amp; variables'!N52</f>
        <v>10715.820884981651</v>
      </c>
      <c r="H16" s="54">
        <f t="shared" si="1"/>
        <v>16566.925875417826</v>
      </c>
      <c r="I16" s="8"/>
      <c r="J16" s="8"/>
    </row>
    <row r="17" spans="1:11" ht="16" x14ac:dyDescent="0.2">
      <c r="A17" s="54" t="s">
        <v>235</v>
      </c>
      <c r="B17" s="54">
        <f>'Coûts &amp; variables'!$B$102</f>
        <v>11620</v>
      </c>
      <c r="C17" s="54">
        <f>CA!F79</f>
        <v>21390.2637540328</v>
      </c>
      <c r="D17" s="54">
        <f>'Coûts &amp; variables'!K53</f>
        <v>6387.1867383584922</v>
      </c>
      <c r="E17" s="54">
        <f>'Résultat exploitation'!E41</f>
        <v>2366.4949309600001</v>
      </c>
      <c r="F17" s="54">
        <f t="shared" si="0"/>
        <v>8753.6816693184919</v>
      </c>
      <c r="G17" s="54">
        <f>'Coûts &amp; variables'!N53</f>
        <v>15003.077015674307</v>
      </c>
      <c r="H17" s="54">
        <f t="shared" si="1"/>
        <v>16566.925875417826</v>
      </c>
      <c r="I17" s="8"/>
      <c r="J17" s="8"/>
      <c r="K17" s="8"/>
    </row>
    <row r="18" spans="1:11" ht="16" x14ac:dyDescent="0.2">
      <c r="A18" s="54" t="s">
        <v>236</v>
      </c>
      <c r="B18" s="54">
        <f>'Coûts &amp; variables'!$B$102</f>
        <v>11620</v>
      </c>
      <c r="C18" s="54">
        <f>CA!F80</f>
        <v>23500.057253982239</v>
      </c>
      <c r="D18" s="54">
        <f>'Coûts &amp; variables'!K54</f>
        <v>7017.1764018104623</v>
      </c>
      <c r="E18" s="54">
        <f>'Résultat exploitation'!E42</f>
        <v>2397.7118881599999</v>
      </c>
      <c r="F18" s="54">
        <f t="shared" si="0"/>
        <v>9414.8882899704622</v>
      </c>
      <c r="G18" s="54">
        <f>'Coûts &amp; variables'!N54</f>
        <v>16482.880852171776</v>
      </c>
      <c r="H18" s="54">
        <f t="shared" si="1"/>
        <v>16566.925875417826</v>
      </c>
      <c r="I18" s="8"/>
      <c r="J18" s="8"/>
    </row>
    <row r="19" spans="1:11" ht="16" x14ac:dyDescent="0.2">
      <c r="A19" s="54" t="s">
        <v>237</v>
      </c>
      <c r="B19" s="54">
        <f>'Coûts &amp; variables'!$B$102</f>
        <v>11620</v>
      </c>
      <c r="C19" s="54">
        <f>CA!F81</f>
        <v>21097.273622221644</v>
      </c>
      <c r="D19" s="54">
        <f>'Coûts &amp; variables'!K55</f>
        <v>6299.699145596981</v>
      </c>
      <c r="E19" s="54">
        <f>'Résultat exploitation'!E43</f>
        <v>2362.1597861199998</v>
      </c>
      <c r="F19" s="54">
        <f t="shared" si="0"/>
        <v>8661.8589317169808</v>
      </c>
      <c r="G19" s="54">
        <f>'Coûts &amp; variables'!N55</f>
        <v>14797.574476624664</v>
      </c>
      <c r="H19" s="54">
        <f t="shared" si="1"/>
        <v>16566.925875417826</v>
      </c>
      <c r="I19" s="8"/>
      <c r="J19" s="8"/>
    </row>
    <row r="20" spans="1:11" ht="16" x14ac:dyDescent="0.2">
      <c r="A20" s="54" t="s">
        <v>238</v>
      </c>
      <c r="B20" s="54">
        <f>'Coûts &amp; variables'!$B$102</f>
        <v>11620</v>
      </c>
      <c r="C20" s="54">
        <f>CA!F82</f>
        <v>27861.178990241347</v>
      </c>
      <c r="D20" s="54">
        <f>'Coûts &amp; variables'!K56</f>
        <v>8319.418358174813</v>
      </c>
      <c r="E20" s="54">
        <f>'Résultat exploitation'!E44</f>
        <v>2462.2399808800001</v>
      </c>
      <c r="F20" s="54">
        <f t="shared" si="0"/>
        <v>10781.658339054813</v>
      </c>
      <c r="G20" s="54">
        <f>'Coûts &amp; variables'!N56</f>
        <v>19541.760632066536</v>
      </c>
      <c r="H20" s="54">
        <f t="shared" si="1"/>
        <v>16566.925875417823</v>
      </c>
      <c r="I20" s="8"/>
      <c r="J20" s="8"/>
    </row>
    <row r="21" spans="1:11" ht="16" x14ac:dyDescent="0.2">
      <c r="A21" s="54" t="s">
        <v>239</v>
      </c>
      <c r="B21" s="54">
        <f>'Coûts &amp; variables'!$C$102</f>
        <v>20466.100000000002</v>
      </c>
      <c r="C21" s="54">
        <f>CA!F83</f>
        <v>22458.054339776059</v>
      </c>
      <c r="D21" s="54">
        <f>'Coûts &amp; variables'!K57</f>
        <v>6094.4096461394984</v>
      </c>
      <c r="E21" s="54">
        <f>'Résultat exploitation'!E45</f>
        <v>2767.6063800960001</v>
      </c>
      <c r="F21" s="54">
        <f t="shared" si="0"/>
        <v>8862.0160262354984</v>
      </c>
      <c r="G21" s="54">
        <f>'Coûts &amp; variables'!N57</f>
        <v>16363.644693636561</v>
      </c>
      <c r="H21" s="54">
        <f t="shared" si="1"/>
        <v>28088.411507861067</v>
      </c>
      <c r="I21" s="8"/>
      <c r="J21" s="8"/>
    </row>
    <row r="22" spans="1:11" ht="16" x14ac:dyDescent="0.2">
      <c r="A22" s="54" t="s">
        <v>240</v>
      </c>
      <c r="B22" s="54">
        <f>'Coûts &amp; variables'!$C$102</f>
        <v>20466.100000000002</v>
      </c>
      <c r="C22" s="54">
        <f>CA!F84</f>
        <v>24693.679082617044</v>
      </c>
      <c r="D22" s="54">
        <f>'Coûts &amp; variables'!K58</f>
        <v>6701.0878913598308</v>
      </c>
      <c r="E22" s="54">
        <f>'Résultat exploitation'!E46</f>
        <v>2799.7207740960002</v>
      </c>
      <c r="F22" s="54">
        <f t="shared" si="0"/>
        <v>9500.8086654558319</v>
      </c>
      <c r="G22" s="54">
        <f>'Coûts &amp; variables'!N58</f>
        <v>17992.591191257212</v>
      </c>
      <c r="H22" s="54">
        <f t="shared" si="1"/>
        <v>28088.411507861067</v>
      </c>
      <c r="I22" s="8"/>
      <c r="J22" s="8"/>
    </row>
    <row r="23" spans="1:11" ht="16" x14ac:dyDescent="0.2">
      <c r="A23" s="54" t="s">
        <v>241</v>
      </c>
      <c r="B23" s="54">
        <f>'Coûts &amp; variables'!$C$102</f>
        <v>20466.100000000002</v>
      </c>
      <c r="C23" s="54">
        <f>CA!F85</f>
        <v>28340.842893860994</v>
      </c>
      <c r="D23" s="54">
        <f>'Coûts &amp; variables'!K59</f>
        <v>7690.8134471008134</v>
      </c>
      <c r="E23" s="54">
        <f>'Résultat exploitation'!E47</f>
        <v>2852.1117024</v>
      </c>
      <c r="F23" s="54">
        <f t="shared" si="0"/>
        <v>10542.925149500814</v>
      </c>
      <c r="G23" s="54">
        <f>'Coûts &amp; variables'!N59</f>
        <v>20650.029446760182</v>
      </c>
      <c r="H23" s="54">
        <f t="shared" si="1"/>
        <v>28088.411507861067</v>
      </c>
      <c r="I23" s="8"/>
      <c r="J23" s="8"/>
    </row>
    <row r="24" spans="1:11" ht="16" x14ac:dyDescent="0.2">
      <c r="A24" s="54" t="s">
        <v>242</v>
      </c>
      <c r="B24" s="54">
        <f>'Coûts &amp; variables'!$C$102</f>
        <v>20466.100000000002</v>
      </c>
      <c r="C24" s="54">
        <f>CA!F86</f>
        <v>30756.693385201768</v>
      </c>
      <c r="D24" s="54">
        <f>'Coûts &amp; variables'!K60</f>
        <v>8346.3992923973674</v>
      </c>
      <c r="E24" s="54">
        <f>'Résultat exploitation'!E48</f>
        <v>2886.815010624</v>
      </c>
      <c r="F24" s="54">
        <f t="shared" si="0"/>
        <v>11233.214303021367</v>
      </c>
      <c r="G24" s="54">
        <f>'Coûts &amp; variables'!N60</f>
        <v>22410.294092804401</v>
      </c>
      <c r="H24" s="54">
        <f t="shared" si="1"/>
        <v>28088.411507861067</v>
      </c>
      <c r="I24" s="8"/>
      <c r="J24" s="8"/>
    </row>
    <row r="25" spans="1:11" ht="16" x14ac:dyDescent="0.2">
      <c r="A25" s="54" t="s">
        <v>243</v>
      </c>
      <c r="B25" s="54">
        <f>'Coûts &amp; variables'!$C$102</f>
        <v>20466.100000000002</v>
      </c>
      <c r="C25" s="54">
        <f>CA!F87</f>
        <v>33346.578664216009</v>
      </c>
      <c r="D25" s="54">
        <f>'Coûts &amp; variables'!K61</f>
        <v>9049.212705706459</v>
      </c>
      <c r="E25" s="54">
        <f>'Résultat exploitation'!E49</f>
        <v>2924.0183009040002</v>
      </c>
      <c r="F25" s="54">
        <f t="shared" si="0"/>
        <v>11973.231006610458</v>
      </c>
      <c r="G25" s="54">
        <f>'Coûts &amp; variables'!N61</f>
        <v>24297.365958509552</v>
      </c>
      <c r="H25" s="54">
        <f t="shared" si="1"/>
        <v>28088.411507861063</v>
      </c>
      <c r="I25" s="8"/>
      <c r="J25" s="8"/>
    </row>
    <row r="26" spans="1:11" ht="16" x14ac:dyDescent="0.2">
      <c r="A26" s="54" t="s">
        <v>244</v>
      </c>
      <c r="B26" s="54">
        <f>'Coûts &amp; variables'!$C$102</f>
        <v>20466.100000000002</v>
      </c>
      <c r="C26" s="54">
        <f>CA!F88</f>
        <v>32911.147752764213</v>
      </c>
      <c r="D26" s="54">
        <f>'Coûts &amp; variables'!K62</f>
        <v>8931.0504505604695</v>
      </c>
      <c r="E26" s="54">
        <f>'Résultat exploitation'!E50</f>
        <v>2917.7634050880001</v>
      </c>
      <c r="F26" s="54">
        <f t="shared" si="0"/>
        <v>11848.81385564847</v>
      </c>
      <c r="G26" s="54">
        <f>'Coûts &amp; variables'!N62</f>
        <v>23980.097302203743</v>
      </c>
      <c r="H26" s="54">
        <f t="shared" si="1"/>
        <v>28088.411507861067</v>
      </c>
      <c r="I26" s="8"/>
      <c r="J26" s="8"/>
    </row>
    <row r="27" spans="1:11" ht="16" x14ac:dyDescent="0.2">
      <c r="A27" s="54" t="s">
        <v>245</v>
      </c>
      <c r="B27" s="54">
        <f>'Coûts &amp; variables'!$C$102</f>
        <v>20466.100000000002</v>
      </c>
      <c r="C27" s="54">
        <f>CA!F89</f>
        <v>27663.964510182377</v>
      </c>
      <c r="D27" s="54">
        <f>'Coûts &amp; variables'!K63</f>
        <v>7507.1299414710265</v>
      </c>
      <c r="E27" s="54">
        <f>'Résultat exploitation'!E51</f>
        <v>2842.3884520319998</v>
      </c>
      <c r="F27" s="54">
        <f t="shared" si="0"/>
        <v>10349.518393503025</v>
      </c>
      <c r="G27" s="54">
        <f>'Coûts &amp; variables'!N63</f>
        <v>20156.834568711351</v>
      </c>
      <c r="H27" s="54">
        <f t="shared" si="1"/>
        <v>28088.411507861067</v>
      </c>
      <c r="I27" s="8"/>
      <c r="J27" s="8"/>
    </row>
    <row r="28" spans="1:11" ht="16" x14ac:dyDescent="0.2">
      <c r="A28" s="54" t="s">
        <v>246</v>
      </c>
      <c r="B28" s="54">
        <f>'Coûts &amp; variables'!$C$102</f>
        <v>20466.100000000002</v>
      </c>
      <c r="C28" s="54">
        <f>CA!F90</f>
        <v>24947.508476496521</v>
      </c>
      <c r="D28" s="54">
        <f>'Coûts &amp; variables'!K64</f>
        <v>6769.9692059709996</v>
      </c>
      <c r="E28" s="54">
        <f>'Résultat exploitation'!E52</f>
        <v>2803.3669929839998</v>
      </c>
      <c r="F28" s="54">
        <f t="shared" si="0"/>
        <v>9573.3361989549994</v>
      </c>
      <c r="G28" s="54">
        <f>'Coûts &amp; variables'!N64</f>
        <v>18177.539270525522</v>
      </c>
      <c r="H28" s="54">
        <f t="shared" si="1"/>
        <v>28088.411507861067</v>
      </c>
      <c r="I28" s="8"/>
      <c r="J28" s="8"/>
    </row>
    <row r="29" spans="1:11" ht="16" x14ac:dyDescent="0.2">
      <c r="A29" s="54" t="s">
        <v>247</v>
      </c>
      <c r="B29" s="54">
        <f>'Coûts &amp; variables'!$C$102</f>
        <v>20466.100000000002</v>
      </c>
      <c r="C29" s="54">
        <f>CA!F91</f>
        <v>34434.124116041108</v>
      </c>
      <c r="D29" s="54">
        <f>'Coûts &amp; variables'!K65</f>
        <v>9344.3383382274878</v>
      </c>
      <c r="E29" s="54">
        <f>'Résultat exploitation'!E53</f>
        <v>2939.6407184159998</v>
      </c>
      <c r="F29" s="54">
        <f t="shared" si="0"/>
        <v>12283.979056643488</v>
      </c>
      <c r="G29" s="54">
        <f>'Coûts &amp; variables'!N65</f>
        <v>25089.78577781362</v>
      </c>
      <c r="H29" s="54">
        <f t="shared" si="1"/>
        <v>28088.411507861067</v>
      </c>
      <c r="I29" s="8"/>
      <c r="J29" s="8"/>
    </row>
    <row r="30" spans="1:11" ht="16" x14ac:dyDescent="0.2">
      <c r="A30" s="54" t="s">
        <v>248</v>
      </c>
      <c r="B30" s="54">
        <f>'Coûts &amp; variables'!$C$102</f>
        <v>20466.100000000002</v>
      </c>
      <c r="C30" s="54">
        <f>CA!F92</f>
        <v>37145.764957973151</v>
      </c>
      <c r="D30" s="54">
        <f>'Coûts &amp; variables'!K66</f>
        <v>10080.192382122425</v>
      </c>
      <c r="E30" s="54">
        <f>'Résultat exploitation'!E54</f>
        <v>2978.5930079999998</v>
      </c>
      <c r="F30" s="54">
        <f t="shared" si="0"/>
        <v>13058.785390122424</v>
      </c>
      <c r="G30" s="54">
        <f>'Coûts &amp; variables'!N66</f>
        <v>27065.572575850725</v>
      </c>
      <c r="H30" s="54">
        <f t="shared" si="1"/>
        <v>28088.411507861067</v>
      </c>
      <c r="I30" s="8"/>
      <c r="J30" s="8"/>
    </row>
    <row r="31" spans="1:11" ht="16" x14ac:dyDescent="0.2">
      <c r="A31" s="54" t="s">
        <v>249</v>
      </c>
      <c r="B31" s="54">
        <f>'Coûts &amp; variables'!$C$102</f>
        <v>20466.100000000002</v>
      </c>
      <c r="C31" s="54">
        <f>CA!F93</f>
        <v>32882.256602241338</v>
      </c>
      <c r="D31" s="54">
        <f>'Coûts &amp; variables'!K67</f>
        <v>8923.2103009299299</v>
      </c>
      <c r="E31" s="54">
        <f>'Résultat exploitation'!E55</f>
        <v>2917.3483883039999</v>
      </c>
      <c r="F31" s="54">
        <f t="shared" si="0"/>
        <v>11840.558689233931</v>
      </c>
      <c r="G31" s="54">
        <f>'Coûts &amp; variables'!N67</f>
        <v>23959.046301311406</v>
      </c>
      <c r="H31" s="54">
        <f t="shared" si="1"/>
        <v>28088.41150786107</v>
      </c>
      <c r="I31" s="8"/>
      <c r="J31" s="8"/>
    </row>
    <row r="32" spans="1:11" ht="16" x14ac:dyDescent="0.2">
      <c r="A32" s="54" t="s">
        <v>250</v>
      </c>
      <c r="B32" s="54">
        <f>'Coûts &amp; variables'!$C$102</f>
        <v>20466.100000000002</v>
      </c>
      <c r="C32" s="54">
        <f>CA!F94</f>
        <v>42939.128522344443</v>
      </c>
      <c r="D32" s="54">
        <f>'Coûts &amp; variables'!K68</f>
        <v>11652.329053274927</v>
      </c>
      <c r="E32" s="54">
        <f>'Résultat exploitation'!E56</f>
        <v>3061.8137545439999</v>
      </c>
      <c r="F32" s="54">
        <f t="shared" si="0"/>
        <v>14714.142807818927</v>
      </c>
      <c r="G32" s="54">
        <f>'Coûts &amp; variables'!N68</f>
        <v>31286.799469069516</v>
      </c>
      <c r="H32" s="54">
        <f t="shared" si="1"/>
        <v>28088.411507861067</v>
      </c>
      <c r="I32" s="8"/>
      <c r="J32" s="8"/>
    </row>
    <row r="33" spans="1:10" ht="16" x14ac:dyDescent="0.2">
      <c r="A33" s="54" t="s">
        <v>251</v>
      </c>
      <c r="B33" s="54">
        <f>'Coûts &amp; variables'!$D$102</f>
        <v>24421.918000000005</v>
      </c>
      <c r="C33" s="54">
        <f>CA!F95</f>
        <v>34293.412653499538</v>
      </c>
      <c r="D33" s="54">
        <f>'Coûts &amp; variables'!K69</f>
        <v>8875.2069242397174</v>
      </c>
      <c r="E33" s="54">
        <f>'Résultat exploitation'!E57</f>
        <v>3269.6032360320005</v>
      </c>
      <c r="F33" s="54">
        <f t="shared" si="0"/>
        <v>12144.810160271718</v>
      </c>
      <c r="G33" s="54">
        <f>'Coûts &amp; variables'!N69</f>
        <v>25418.205729259818</v>
      </c>
      <c r="H33" s="54">
        <f t="shared" si="1"/>
        <v>32949.253801964434</v>
      </c>
      <c r="I33" s="8"/>
      <c r="J33" s="8"/>
    </row>
    <row r="34" spans="1:10" ht="16" x14ac:dyDescent="0.2">
      <c r="A34" s="54" t="s">
        <v>252</v>
      </c>
      <c r="B34" s="54">
        <f>'Coûts &amp; variables'!$D$102</f>
        <v>24421.918000000005</v>
      </c>
      <c r="C34" s="54">
        <f>CA!F96</f>
        <v>37176.315688597228</v>
      </c>
      <c r="D34" s="54">
        <f>'Coûts &amp; variables'!K70</f>
        <v>9621.3082597216981</v>
      </c>
      <c r="E34" s="54">
        <f>'Résultat exploitation'!E58</f>
        <v>3309.8079750480001</v>
      </c>
      <c r="F34" s="54">
        <f t="shared" si="0"/>
        <v>12931.116234769699</v>
      </c>
      <c r="G34" s="54">
        <f>'Coûts &amp; variables'!N70</f>
        <v>27555.007428875528</v>
      </c>
      <c r="H34" s="54">
        <f t="shared" si="1"/>
        <v>32949.253801964434</v>
      </c>
      <c r="I34" s="8"/>
      <c r="J34" s="8"/>
    </row>
    <row r="35" spans="1:10" ht="16" x14ac:dyDescent="0.2">
      <c r="A35" s="54" t="s">
        <v>253</v>
      </c>
      <c r="B35" s="54">
        <f>'Coûts &amp; variables'!$D$102</f>
        <v>24421.918000000005</v>
      </c>
      <c r="C35" s="54">
        <f>CA!F97</f>
        <v>42208.657257455809</v>
      </c>
      <c r="D35" s="54">
        <f>'Coûts &amp; variables'!K71</f>
        <v>10923.688783595146</v>
      </c>
      <c r="E35" s="54">
        <f>'Résultat exploitation'!E59</f>
        <v>3379.9886148240003</v>
      </c>
      <c r="F35" s="54">
        <f t="shared" si="0"/>
        <v>14303.677398419146</v>
      </c>
      <c r="G35" s="54">
        <f>'Coûts &amp; variables'!N71</f>
        <v>31284.968473860663</v>
      </c>
      <c r="H35" s="54">
        <f t="shared" si="1"/>
        <v>32949.253801964434</v>
      </c>
      <c r="I35" s="8"/>
      <c r="J35" s="8"/>
    </row>
    <row r="36" spans="1:10" ht="16" x14ac:dyDescent="0.2">
      <c r="A36" s="54" t="s">
        <v>254</v>
      </c>
      <c r="B36" s="54">
        <f>'Coûts &amp; variables'!$D$102</f>
        <v>24421.918000000005</v>
      </c>
      <c r="C36" s="54">
        <f>CA!F98</f>
        <v>45420.25573444413</v>
      </c>
      <c r="D36" s="54">
        <f>'Coûts &amp; variables'!K72</f>
        <v>11754.857186951347</v>
      </c>
      <c r="E36" s="54">
        <f>'Résultat exploitation'!E60</f>
        <v>3424.7773146240002</v>
      </c>
      <c r="F36" s="54">
        <f t="shared" si="0"/>
        <v>15179.634501575347</v>
      </c>
      <c r="G36" s="54">
        <f>'Coûts &amp; variables'!N72</f>
        <v>33665.398547492783</v>
      </c>
      <c r="H36" s="54">
        <f t="shared" si="1"/>
        <v>32949.253801964434</v>
      </c>
      <c r="I36" s="8"/>
      <c r="J36" s="8"/>
    </row>
    <row r="37" spans="1:10" ht="16" x14ac:dyDescent="0.2">
      <c r="A37" s="54" t="s">
        <v>255</v>
      </c>
      <c r="B37" s="54">
        <f>'Coûts &amp; variables'!$D$102</f>
        <v>24421.918000000005</v>
      </c>
      <c r="C37" s="54">
        <f>CA!F99</f>
        <v>48658.408210013149</v>
      </c>
      <c r="D37" s="54">
        <f>'Coûts &amp; variables'!K73</f>
        <v>12592.897820681665</v>
      </c>
      <c r="E37" s="54">
        <f>'Résultat exploitation'!E61</f>
        <v>3469.9363344000003</v>
      </c>
      <c r="F37" s="54">
        <f t="shared" si="0"/>
        <v>16062.834155081666</v>
      </c>
      <c r="G37" s="54">
        <f>'Coûts &amp; variables'!N73</f>
        <v>36065.510389331481</v>
      </c>
      <c r="H37" s="54">
        <f t="shared" si="1"/>
        <v>32949.253801964434</v>
      </c>
      <c r="I37" s="8"/>
      <c r="J37" s="8"/>
    </row>
    <row r="38" spans="1:10" ht="16" x14ac:dyDescent="0.2">
      <c r="A38" s="54" t="s">
        <v>256</v>
      </c>
      <c r="B38" s="54">
        <f>'Coûts &amp; variables'!$D$102</f>
        <v>24421.918000000005</v>
      </c>
      <c r="C38" s="54">
        <f>CA!F100</f>
        <v>47590.506861687209</v>
      </c>
      <c r="D38" s="54">
        <f>'Coûts &amp; variables'!K74</f>
        <v>12316.522718068478</v>
      </c>
      <c r="E38" s="54">
        <f>'Résultat exploitation'!E62</f>
        <v>3455.0434661760005</v>
      </c>
      <c r="F38" s="54">
        <f t="shared" si="0"/>
        <v>15771.566184244479</v>
      </c>
      <c r="G38" s="54">
        <f>'Coûts &amp; variables'!N74</f>
        <v>35273.984143618727</v>
      </c>
      <c r="H38" s="54">
        <f t="shared" si="1"/>
        <v>32949.253801964434</v>
      </c>
      <c r="I38" s="8"/>
      <c r="J38" s="8"/>
    </row>
    <row r="39" spans="1:10" ht="16" x14ac:dyDescent="0.2">
      <c r="A39" s="54" t="s">
        <v>257</v>
      </c>
      <c r="B39" s="54">
        <f>'Coûts &amp; variables'!$D$102</f>
        <v>24421.918000000005</v>
      </c>
      <c r="C39" s="54">
        <f>CA!F101</f>
        <v>39724.781876705725</v>
      </c>
      <c r="D39" s="54">
        <f>'Coûts &amp; variables'!K75</f>
        <v>10280.856639680998</v>
      </c>
      <c r="E39" s="54">
        <f>'Résultat exploitation'!E63</f>
        <v>3345.3486840960004</v>
      </c>
      <c r="F39" s="54">
        <f t="shared" si="0"/>
        <v>13626.205323776998</v>
      </c>
      <c r="G39" s="54">
        <f>'Coûts &amp; variables'!N75</f>
        <v>29443.925237024727</v>
      </c>
      <c r="H39" s="54">
        <f t="shared" si="1"/>
        <v>32949.253801964434</v>
      </c>
      <c r="I39" s="8"/>
      <c r="J39" s="8"/>
    </row>
    <row r="40" spans="1:10" ht="16" x14ac:dyDescent="0.2">
      <c r="A40" s="54" t="s">
        <v>258</v>
      </c>
      <c r="B40" s="54">
        <f>'Coûts &amp; variables'!$D$102</f>
        <v>24421.918000000005</v>
      </c>
      <c r="C40" s="54">
        <f>CA!F102</f>
        <v>35532.838479143975</v>
      </c>
      <c r="D40" s="54">
        <f>'Coûts &amp; variables'!K76</f>
        <v>9195.9729203505904</v>
      </c>
      <c r="E40" s="54">
        <f>'Résultat exploitation'!E64</f>
        <v>3286.8881711280001</v>
      </c>
      <c r="F40" s="54">
        <f t="shared" si="0"/>
        <v>12482.86109147859</v>
      </c>
      <c r="G40" s="54">
        <f>'Coûts &amp; variables'!N76</f>
        <v>26336.865558793383</v>
      </c>
      <c r="H40" s="54">
        <f t="shared" si="1"/>
        <v>32949.253801964434</v>
      </c>
      <c r="I40" s="8"/>
      <c r="J40" s="8"/>
    </row>
    <row r="41" spans="1:10" ht="16" x14ac:dyDescent="0.2">
      <c r="A41" s="54" t="s">
        <v>259</v>
      </c>
      <c r="B41" s="54">
        <f>'Coûts &amp; variables'!$D$102</f>
        <v>24421.918000000005</v>
      </c>
      <c r="C41" s="54">
        <f>CA!F103</f>
        <v>48565.828052799421</v>
      </c>
      <c r="D41" s="54">
        <f>'Coûts &amp; variables'!K77</f>
        <v>12568.937882350285</v>
      </c>
      <c r="E41" s="54">
        <f>'Résultat exploitation'!E65</f>
        <v>3468.6452188080002</v>
      </c>
      <c r="F41" s="54">
        <f t="shared" si="0"/>
        <v>16037.583101158285</v>
      </c>
      <c r="G41" s="54">
        <f>'Coûts &amp; variables'!N77</f>
        <v>35996.890170449136</v>
      </c>
      <c r="H41" s="54">
        <f t="shared" si="1"/>
        <v>32949.253801964434</v>
      </c>
      <c r="I41" s="8"/>
      <c r="J41" s="8"/>
    </row>
    <row r="42" spans="1:10" ht="16" x14ac:dyDescent="0.2">
      <c r="A42" s="54" t="s">
        <v>260</v>
      </c>
      <c r="B42" s="54">
        <f>'Coûts &amp; variables'!$D$102</f>
        <v>24421.918000000005</v>
      </c>
      <c r="C42" s="54">
        <f>CA!F104</f>
        <v>52008.518085003445</v>
      </c>
      <c r="D42" s="54">
        <f>'Coûts &amp; variables'!K78</f>
        <v>13459.913263556919</v>
      </c>
      <c r="E42" s="54">
        <f>'Résultat exploitation'!E66</f>
        <v>3516.6567032640005</v>
      </c>
      <c r="F42" s="54">
        <f t="shared" si="0"/>
        <v>16976.56996682092</v>
      </c>
      <c r="G42" s="54">
        <f>'Coûts &amp; variables'!N78</f>
        <v>38548.604821446526</v>
      </c>
      <c r="H42" s="54">
        <f t="shared" si="1"/>
        <v>32949.253801964434</v>
      </c>
      <c r="I42" s="8"/>
      <c r="J42" s="8"/>
    </row>
    <row r="43" spans="1:10" ht="16" x14ac:dyDescent="0.2">
      <c r="A43" s="54" t="s">
        <v>261</v>
      </c>
      <c r="B43" s="54">
        <f>'Coûts &amp; variables'!$D$102</f>
        <v>24421.918000000005</v>
      </c>
      <c r="C43" s="54">
        <f>CA!F105</f>
        <v>45786.270309475214</v>
      </c>
      <c r="D43" s="54">
        <f>'Coûts &amp; variables'!K79</f>
        <v>11849.582524540547</v>
      </c>
      <c r="E43" s="54">
        <f>'Résultat exploitation'!E67</f>
        <v>3429.8817251040005</v>
      </c>
      <c r="F43" s="54">
        <f t="shared" si="0"/>
        <v>15279.464249644547</v>
      </c>
      <c r="G43" s="54">
        <f>'Coûts &amp; variables'!N79</f>
        <v>33936.687784934664</v>
      </c>
      <c r="H43" s="54">
        <f t="shared" si="1"/>
        <v>32949.253801964434</v>
      </c>
      <c r="I43" s="8"/>
      <c r="J43" s="8"/>
    </row>
    <row r="44" spans="1:10" ht="16" x14ac:dyDescent="0.2">
      <c r="A44" s="54" t="s">
        <v>227</v>
      </c>
      <c r="B44" s="54">
        <f>'Coûts &amp; variables'!$D$102</f>
        <v>24421.918000000005</v>
      </c>
      <c r="C44" s="54">
        <f>CA!F106</f>
        <v>59280.007642287404</v>
      </c>
      <c r="D44" s="54">
        <f>'Coûts &amp; variables'!K80</f>
        <v>15341.789970328991</v>
      </c>
      <c r="E44" s="54">
        <f>'Résultat exploitation'!E68</f>
        <v>3618.0643248000006</v>
      </c>
      <c r="F44" s="54">
        <f t="shared" si="0"/>
        <v>18959.854295128993</v>
      </c>
      <c r="G44" s="54">
        <f>'Coûts &amp; variables'!N80</f>
        <v>43938.217671958409</v>
      </c>
      <c r="H44" s="54">
        <f t="shared" si="1"/>
        <v>32949.253801964434</v>
      </c>
      <c r="I44" s="8"/>
      <c r="J44" s="8"/>
    </row>
    <row r="45" spans="1:10" x14ac:dyDescent="0.2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2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x14ac:dyDescent="0.2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x14ac:dyDescent="0.2">
      <c r="A48" s="12"/>
      <c r="B48" s="12"/>
      <c r="C48" s="12"/>
      <c r="D48" s="12"/>
      <c r="E48" s="8"/>
      <c r="F48" s="8"/>
      <c r="G48" s="8"/>
      <c r="H48" s="8"/>
      <c r="I48" s="8"/>
      <c r="J48" s="8"/>
    </row>
    <row r="49" spans="1:10" ht="16" x14ac:dyDescent="0.2">
      <c r="A49" s="11" t="s">
        <v>4</v>
      </c>
      <c r="B49" s="11" t="s">
        <v>362</v>
      </c>
      <c r="C49" s="11" t="s">
        <v>363</v>
      </c>
      <c r="D49" s="8"/>
      <c r="E49" s="8"/>
      <c r="F49" s="8"/>
      <c r="G49" s="8"/>
      <c r="H49" s="8"/>
      <c r="I49" s="8"/>
      <c r="J49" s="8"/>
    </row>
    <row r="50" spans="1:10" ht="16" x14ac:dyDescent="0.2">
      <c r="A50" s="54" t="s">
        <v>226</v>
      </c>
      <c r="B50" s="54">
        <f>G9</f>
        <v>8164.4349599860207</v>
      </c>
      <c r="C50" s="54">
        <f>B50</f>
        <v>8164.4349599860207</v>
      </c>
      <c r="D50" s="8"/>
      <c r="E50" s="8">
        <f>B50-E9</f>
        <v>5942.2034719860203</v>
      </c>
      <c r="F50" s="8">
        <f>E50</f>
        <v>5942.2034719860203</v>
      </c>
      <c r="G50" s="8"/>
      <c r="H50" s="8"/>
      <c r="I50" s="8"/>
      <c r="J50" s="8"/>
    </row>
    <row r="51" spans="1:10" ht="16" x14ac:dyDescent="0.2">
      <c r="A51" s="54" t="s">
        <v>228</v>
      </c>
      <c r="B51" s="54">
        <f t="shared" ref="B51:B85" si="2">G10</f>
        <v>9232.3059416841916</v>
      </c>
      <c r="C51" s="54">
        <f>C50+B51</f>
        <v>17396.740901670211</v>
      </c>
      <c r="D51" s="8"/>
      <c r="E51" s="8">
        <f t="shared" ref="E51:E85" si="3">B51-E10</f>
        <v>6987.5473579241916</v>
      </c>
      <c r="F51" s="8">
        <f>F50+E51</f>
        <v>12929.750829910212</v>
      </c>
      <c r="G51" s="8"/>
      <c r="H51" s="8"/>
      <c r="I51" s="8"/>
      <c r="J51" s="8"/>
    </row>
    <row r="52" spans="1:10" ht="16" x14ac:dyDescent="0.2">
      <c r="A52" s="54" t="s">
        <v>229</v>
      </c>
      <c r="B52" s="54">
        <f t="shared" si="2"/>
        <v>10941.734511431267</v>
      </c>
      <c r="C52" s="54">
        <f t="shared" ref="C52:C85" si="4">C51+B52</f>
        <v>28338.475413101478</v>
      </c>
      <c r="D52" s="8"/>
      <c r="E52" s="8">
        <f t="shared" si="3"/>
        <v>8660.9149598712665</v>
      </c>
      <c r="F52" s="8">
        <f t="shared" ref="F52:F85" si="5">F51+E52</f>
        <v>21590.66578978148</v>
      </c>
      <c r="G52" s="8"/>
      <c r="H52" s="8"/>
      <c r="I52" s="8"/>
      <c r="J52" s="8"/>
    </row>
    <row r="53" spans="1:10" ht="16" x14ac:dyDescent="0.2">
      <c r="A53" s="54" t="s">
        <v>230</v>
      </c>
      <c r="B53" s="54">
        <f t="shared" si="2"/>
        <v>12174.285857379153</v>
      </c>
      <c r="C53" s="54">
        <f t="shared" si="4"/>
        <v>40512.761270480631</v>
      </c>
      <c r="D53" s="8"/>
      <c r="E53" s="8">
        <f t="shared" si="3"/>
        <v>9867.4652226591534</v>
      </c>
      <c r="F53" s="8">
        <f t="shared" si="5"/>
        <v>31458.131012440634</v>
      </c>
      <c r="G53" s="8"/>
      <c r="H53" s="8"/>
      <c r="I53" s="8"/>
      <c r="J53" s="8"/>
    </row>
    <row r="54" spans="1:10" ht="16" x14ac:dyDescent="0.2">
      <c r="A54" s="54" t="s">
        <v>231</v>
      </c>
      <c r="B54" s="54">
        <f t="shared" si="2"/>
        <v>13471.781572326927</v>
      </c>
      <c r="C54" s="54">
        <f t="shared" si="4"/>
        <v>53984.542842807554</v>
      </c>
      <c r="D54" s="8"/>
      <c r="E54" s="8">
        <f t="shared" si="3"/>
        <v>11137.589831246927</v>
      </c>
      <c r="F54" s="8">
        <f t="shared" si="5"/>
        <v>42595.720843687559</v>
      </c>
      <c r="G54" s="8"/>
      <c r="H54" s="8"/>
      <c r="I54" s="8"/>
      <c r="J54" s="8"/>
    </row>
    <row r="55" spans="1:10" ht="16" x14ac:dyDescent="0.2">
      <c r="A55" s="54" t="s">
        <v>232</v>
      </c>
      <c r="B55" s="54">
        <f t="shared" si="2"/>
        <v>13577.08422777675</v>
      </c>
      <c r="C55" s="54">
        <f t="shared" si="4"/>
        <v>67561.627070584305</v>
      </c>
      <c r="D55" s="8"/>
      <c r="E55" s="8">
        <f t="shared" si="3"/>
        <v>11240.671091936751</v>
      </c>
      <c r="F55" s="8">
        <f t="shared" si="5"/>
        <v>53836.391935624313</v>
      </c>
      <c r="G55" s="8"/>
      <c r="H55" s="8"/>
      <c r="I55" s="8"/>
      <c r="J55" s="8"/>
    </row>
    <row r="56" spans="1:10" ht="16" x14ac:dyDescent="0.2">
      <c r="A56" s="54" t="s">
        <v>233</v>
      </c>
      <c r="B56" s="54">
        <f t="shared" si="2"/>
        <v>11675.141992780005</v>
      </c>
      <c r="C56" s="54">
        <f t="shared" si="4"/>
        <v>79236.769063364307</v>
      </c>
      <c r="D56" s="8"/>
      <c r="E56" s="8">
        <f t="shared" si="3"/>
        <v>9378.8509649400057</v>
      </c>
      <c r="F56" s="8">
        <f t="shared" si="5"/>
        <v>63215.242900564321</v>
      </c>
      <c r="G56" s="8"/>
      <c r="H56" s="8"/>
      <c r="I56" s="8"/>
      <c r="J56" s="8"/>
    </row>
    <row r="57" spans="1:10" ht="16" x14ac:dyDescent="0.2">
      <c r="A57" s="54" t="s">
        <v>234</v>
      </c>
      <c r="B57" s="54">
        <f t="shared" si="2"/>
        <v>10715.820884981651</v>
      </c>
      <c r="C57" s="54">
        <f t="shared" si="4"/>
        <v>89952.589948345965</v>
      </c>
      <c r="D57" s="8"/>
      <c r="E57" s="8">
        <f t="shared" si="3"/>
        <v>8439.767056981651</v>
      </c>
      <c r="F57" s="8">
        <f t="shared" si="5"/>
        <v>71655.009957545975</v>
      </c>
      <c r="G57" s="8"/>
      <c r="H57" s="8"/>
      <c r="I57" s="8"/>
      <c r="J57" s="8"/>
    </row>
    <row r="58" spans="1:10" ht="16" x14ac:dyDescent="0.2">
      <c r="A58" s="54" t="s">
        <v>235</v>
      </c>
      <c r="B58" s="54">
        <f t="shared" si="2"/>
        <v>15003.077015674307</v>
      </c>
      <c r="C58" s="54">
        <f t="shared" si="4"/>
        <v>104955.66696402027</v>
      </c>
      <c r="D58" s="8"/>
      <c r="E58" s="8">
        <f t="shared" si="3"/>
        <v>12636.582084714308</v>
      </c>
      <c r="F58" s="8">
        <f t="shared" si="5"/>
        <v>84291.592042260279</v>
      </c>
      <c r="G58" s="8"/>
      <c r="H58" s="8"/>
      <c r="I58" s="8"/>
      <c r="J58" s="8"/>
    </row>
    <row r="59" spans="1:10" ht="16" x14ac:dyDescent="0.2">
      <c r="A59" s="54" t="s">
        <v>236</v>
      </c>
      <c r="B59" s="54">
        <f t="shared" si="2"/>
        <v>16482.880852171776</v>
      </c>
      <c r="C59" s="54">
        <f t="shared" si="4"/>
        <v>121438.54781619205</v>
      </c>
      <c r="D59" s="8"/>
      <c r="E59" s="8">
        <f t="shared" si="3"/>
        <v>14085.168964011777</v>
      </c>
      <c r="F59" s="8">
        <f t="shared" si="5"/>
        <v>98376.761006272049</v>
      </c>
      <c r="G59" s="8"/>
      <c r="H59" s="8"/>
      <c r="I59" s="8"/>
      <c r="J59" s="8"/>
    </row>
    <row r="60" spans="1:10" ht="16" x14ac:dyDescent="0.2">
      <c r="A60" s="54" t="s">
        <v>237</v>
      </c>
      <c r="B60" s="54">
        <f t="shared" si="2"/>
        <v>14797.574476624664</v>
      </c>
      <c r="C60" s="54">
        <f t="shared" si="4"/>
        <v>136236.1222928167</v>
      </c>
      <c r="D60" s="8"/>
      <c r="E60" s="8">
        <f t="shared" si="3"/>
        <v>12435.414690504665</v>
      </c>
      <c r="F60" s="8">
        <f t="shared" si="5"/>
        <v>110812.17569677671</v>
      </c>
      <c r="G60" s="8"/>
      <c r="H60" s="8"/>
      <c r="I60" s="8"/>
      <c r="J60" s="8"/>
    </row>
    <row r="61" spans="1:10" ht="16" x14ac:dyDescent="0.2">
      <c r="A61" s="54" t="s">
        <v>238</v>
      </c>
      <c r="B61" s="54">
        <f t="shared" si="2"/>
        <v>19541.760632066536</v>
      </c>
      <c r="C61" s="54">
        <f t="shared" si="4"/>
        <v>155777.88292488322</v>
      </c>
      <c r="D61" s="8"/>
      <c r="E61" s="8">
        <f t="shared" si="3"/>
        <v>17079.520651186536</v>
      </c>
      <c r="F61" s="8">
        <f t="shared" si="5"/>
        <v>127891.69634796325</v>
      </c>
      <c r="G61" s="8"/>
      <c r="H61" s="8"/>
      <c r="I61" s="8"/>
      <c r="J61" s="8"/>
    </row>
    <row r="62" spans="1:10" ht="16" x14ac:dyDescent="0.2">
      <c r="A62" s="54" t="s">
        <v>239</v>
      </c>
      <c r="B62" s="54">
        <f t="shared" si="2"/>
        <v>16363.644693636561</v>
      </c>
      <c r="C62" s="54">
        <f t="shared" si="4"/>
        <v>172141.52761851979</v>
      </c>
      <c r="D62" s="8"/>
      <c r="E62" s="8">
        <f t="shared" si="3"/>
        <v>13596.038313540561</v>
      </c>
      <c r="F62" s="8">
        <f t="shared" si="5"/>
        <v>141487.73466150381</v>
      </c>
      <c r="G62" s="8"/>
      <c r="H62" s="8"/>
      <c r="I62" s="8"/>
      <c r="J62" s="8"/>
    </row>
    <row r="63" spans="1:10" ht="16" x14ac:dyDescent="0.2">
      <c r="A63" s="54" t="s">
        <v>240</v>
      </c>
      <c r="B63" s="54">
        <f t="shared" si="2"/>
        <v>17992.591191257212</v>
      </c>
      <c r="C63" s="54">
        <f t="shared" si="4"/>
        <v>190134.11880977699</v>
      </c>
      <c r="D63" s="8"/>
      <c r="E63" s="8">
        <f t="shared" si="3"/>
        <v>15192.870417161212</v>
      </c>
      <c r="F63" s="8">
        <f t="shared" si="5"/>
        <v>156680.60507866502</v>
      </c>
      <c r="G63" s="8"/>
      <c r="H63" s="8"/>
      <c r="I63" s="8"/>
      <c r="J63" s="8"/>
    </row>
    <row r="64" spans="1:10" ht="16" x14ac:dyDescent="0.2">
      <c r="A64" s="54" t="s">
        <v>241</v>
      </c>
      <c r="B64" s="54">
        <f t="shared" si="2"/>
        <v>20650.029446760182</v>
      </c>
      <c r="C64" s="54">
        <f t="shared" si="4"/>
        <v>210784.14825653718</v>
      </c>
      <c r="D64" s="8"/>
      <c r="E64" s="8">
        <f t="shared" si="3"/>
        <v>17797.91774436018</v>
      </c>
      <c r="F64" s="8">
        <f t="shared" si="5"/>
        <v>174478.52282302518</v>
      </c>
      <c r="G64" s="8"/>
      <c r="H64" s="8"/>
      <c r="I64" s="8"/>
      <c r="J64" s="8"/>
    </row>
    <row r="65" spans="1:10" ht="16" x14ac:dyDescent="0.2">
      <c r="A65" s="54" t="s">
        <v>242</v>
      </c>
      <c r="B65" s="54">
        <f t="shared" si="2"/>
        <v>22410.294092804401</v>
      </c>
      <c r="C65" s="54">
        <f t="shared" si="4"/>
        <v>233194.44234934158</v>
      </c>
      <c r="D65" s="8"/>
      <c r="E65" s="8">
        <f t="shared" si="3"/>
        <v>19523.479082180402</v>
      </c>
      <c r="F65" s="8">
        <f t="shared" si="5"/>
        <v>194002.00190520557</v>
      </c>
      <c r="G65" s="8"/>
      <c r="H65" s="8"/>
      <c r="I65" s="8"/>
      <c r="J65" s="8"/>
    </row>
    <row r="66" spans="1:10" ht="16" x14ac:dyDescent="0.2">
      <c r="A66" s="54" t="s">
        <v>243</v>
      </c>
      <c r="B66" s="54">
        <f t="shared" si="2"/>
        <v>24297.365958509552</v>
      </c>
      <c r="C66" s="54">
        <f t="shared" si="4"/>
        <v>257491.80830785114</v>
      </c>
      <c r="D66" s="8"/>
      <c r="E66" s="8">
        <f t="shared" si="3"/>
        <v>21373.347657605551</v>
      </c>
      <c r="F66" s="8">
        <f t="shared" si="5"/>
        <v>215375.34956281111</v>
      </c>
      <c r="G66" s="8"/>
      <c r="H66" s="8"/>
      <c r="I66" s="8"/>
      <c r="J66" s="8"/>
    </row>
    <row r="67" spans="1:10" ht="16" x14ac:dyDescent="0.2">
      <c r="A67" s="54" t="s">
        <v>244</v>
      </c>
      <c r="B67" s="54">
        <f t="shared" si="2"/>
        <v>23980.097302203743</v>
      </c>
      <c r="C67" s="54">
        <f t="shared" si="4"/>
        <v>281471.90561005491</v>
      </c>
      <c r="D67" s="8"/>
      <c r="E67" s="8">
        <f t="shared" si="3"/>
        <v>21062.333897115743</v>
      </c>
      <c r="F67" s="8">
        <f t="shared" si="5"/>
        <v>236437.68345992686</v>
      </c>
      <c r="G67" s="8"/>
      <c r="H67" s="8"/>
      <c r="I67" s="8"/>
      <c r="J67" s="8"/>
    </row>
    <row r="68" spans="1:10" ht="16" x14ac:dyDescent="0.2">
      <c r="A68" s="54" t="s">
        <v>245</v>
      </c>
      <c r="B68" s="54">
        <f t="shared" si="2"/>
        <v>20156.834568711351</v>
      </c>
      <c r="C68" s="54">
        <f t="shared" si="4"/>
        <v>301628.74017876625</v>
      </c>
      <c r="D68" s="8"/>
      <c r="E68" s="8">
        <f t="shared" si="3"/>
        <v>17314.446116679352</v>
      </c>
      <c r="F68" s="8">
        <f t="shared" si="5"/>
        <v>253752.12957660621</v>
      </c>
      <c r="G68" s="8"/>
      <c r="H68" s="8"/>
      <c r="I68" s="8"/>
      <c r="J68" s="8"/>
    </row>
    <row r="69" spans="1:10" ht="16" x14ac:dyDescent="0.2">
      <c r="A69" s="54" t="s">
        <v>246</v>
      </c>
      <c r="B69" s="54">
        <f t="shared" si="2"/>
        <v>18177.539270525522</v>
      </c>
      <c r="C69" s="54">
        <f t="shared" si="4"/>
        <v>319806.27944929176</v>
      </c>
      <c r="D69" s="8"/>
      <c r="E69" s="8">
        <f t="shared" si="3"/>
        <v>15374.172277541522</v>
      </c>
      <c r="F69" s="8">
        <f t="shared" si="5"/>
        <v>269126.30185414775</v>
      </c>
      <c r="G69" s="8"/>
      <c r="H69" s="8"/>
      <c r="I69" s="8"/>
      <c r="J69" s="8"/>
    </row>
    <row r="70" spans="1:10" ht="16" x14ac:dyDescent="0.2">
      <c r="A70" s="54" t="s">
        <v>247</v>
      </c>
      <c r="B70" s="54">
        <f t="shared" si="2"/>
        <v>25089.78577781362</v>
      </c>
      <c r="C70" s="54">
        <f t="shared" si="4"/>
        <v>344896.0652271054</v>
      </c>
      <c r="D70" s="8"/>
      <c r="E70" s="8">
        <f t="shared" si="3"/>
        <v>22150.145059397619</v>
      </c>
      <c r="F70" s="8">
        <f t="shared" si="5"/>
        <v>291276.44691354537</v>
      </c>
      <c r="G70" s="8"/>
      <c r="H70" s="8"/>
      <c r="I70" s="8"/>
      <c r="J70" s="8"/>
    </row>
    <row r="71" spans="1:10" ht="16" x14ac:dyDescent="0.2">
      <c r="A71" s="54" t="s">
        <v>248</v>
      </c>
      <c r="B71" s="54">
        <f t="shared" si="2"/>
        <v>27065.572575850725</v>
      </c>
      <c r="C71" s="54">
        <f t="shared" si="4"/>
        <v>371961.6378029561</v>
      </c>
      <c r="D71" s="8"/>
      <c r="E71" s="8">
        <f t="shared" si="3"/>
        <v>24086.979567850725</v>
      </c>
      <c r="F71" s="8">
        <f t="shared" si="5"/>
        <v>315363.42648139608</v>
      </c>
      <c r="G71" s="8"/>
      <c r="H71" s="8"/>
      <c r="I71" s="8"/>
      <c r="J71" s="8"/>
    </row>
    <row r="72" spans="1:10" ht="16" x14ac:dyDescent="0.2">
      <c r="A72" s="54" t="s">
        <v>249</v>
      </c>
      <c r="B72" s="54">
        <f t="shared" si="2"/>
        <v>23959.046301311406</v>
      </c>
      <c r="C72" s="54">
        <f t="shared" si="4"/>
        <v>395920.68410426751</v>
      </c>
      <c r="D72" s="8"/>
      <c r="E72" s="8">
        <f t="shared" si="3"/>
        <v>21041.697913007407</v>
      </c>
      <c r="F72" s="8">
        <f t="shared" si="5"/>
        <v>336405.12439440348</v>
      </c>
      <c r="G72" s="8"/>
      <c r="H72" s="8"/>
      <c r="I72" s="8"/>
      <c r="J72" s="8"/>
    </row>
    <row r="73" spans="1:10" ht="16" x14ac:dyDescent="0.2">
      <c r="A73" s="54" t="s">
        <v>250</v>
      </c>
      <c r="B73" s="54">
        <f t="shared" si="2"/>
        <v>31286.799469069516</v>
      </c>
      <c r="C73" s="54">
        <f t="shared" si="4"/>
        <v>427207.48357333703</v>
      </c>
      <c r="D73" s="8"/>
      <c r="E73" s="8">
        <f t="shared" si="3"/>
        <v>28224.985714525516</v>
      </c>
      <c r="F73" s="8">
        <f t="shared" si="5"/>
        <v>364630.11010892899</v>
      </c>
      <c r="G73" s="8"/>
      <c r="H73" s="8"/>
      <c r="I73" s="8"/>
      <c r="J73" s="8"/>
    </row>
    <row r="74" spans="1:10" ht="16" x14ac:dyDescent="0.2">
      <c r="A74" s="54" t="s">
        <v>251</v>
      </c>
      <c r="B74" s="54">
        <f t="shared" si="2"/>
        <v>25418.205729259818</v>
      </c>
      <c r="C74" s="54">
        <f t="shared" si="4"/>
        <v>452625.68930259685</v>
      </c>
      <c r="D74" s="8"/>
      <c r="E74" s="8">
        <f t="shared" si="3"/>
        <v>22148.602493227816</v>
      </c>
      <c r="F74" s="8">
        <f t="shared" si="5"/>
        <v>386778.7126021568</v>
      </c>
      <c r="G74" s="8"/>
      <c r="H74" s="8"/>
      <c r="I74" s="8"/>
      <c r="J74" s="8"/>
    </row>
    <row r="75" spans="1:10" ht="16" x14ac:dyDescent="0.2">
      <c r="A75" s="54" t="s">
        <v>252</v>
      </c>
      <c r="B75" s="54">
        <f t="shared" si="2"/>
        <v>27555.007428875528</v>
      </c>
      <c r="C75" s="54">
        <f t="shared" si="4"/>
        <v>480180.69673147239</v>
      </c>
      <c r="D75" s="8"/>
      <c r="E75" s="8">
        <f t="shared" si="3"/>
        <v>24245.199453827528</v>
      </c>
      <c r="F75" s="8">
        <f t="shared" si="5"/>
        <v>411023.91205598431</v>
      </c>
      <c r="G75" s="8"/>
      <c r="H75" s="8"/>
      <c r="I75" s="8"/>
      <c r="J75" s="8"/>
    </row>
    <row r="76" spans="1:10" ht="16" x14ac:dyDescent="0.2">
      <c r="A76" s="54" t="s">
        <v>253</v>
      </c>
      <c r="B76" s="54">
        <f t="shared" si="2"/>
        <v>31284.968473860663</v>
      </c>
      <c r="C76" s="54">
        <f t="shared" si="4"/>
        <v>511465.66520533303</v>
      </c>
      <c r="D76" s="8"/>
      <c r="E76" s="8">
        <f t="shared" si="3"/>
        <v>27904.979859036663</v>
      </c>
      <c r="F76" s="8">
        <f t="shared" si="5"/>
        <v>438928.891915021</v>
      </c>
      <c r="G76" s="8"/>
      <c r="H76" s="8"/>
      <c r="I76" s="8"/>
      <c r="J76" s="8"/>
    </row>
    <row r="77" spans="1:10" ht="16" x14ac:dyDescent="0.2">
      <c r="A77" s="54" t="s">
        <v>254</v>
      </c>
      <c r="B77" s="54">
        <f t="shared" si="2"/>
        <v>33665.398547492783</v>
      </c>
      <c r="C77" s="54">
        <f t="shared" si="4"/>
        <v>545131.06375282584</v>
      </c>
      <c r="D77" s="8"/>
      <c r="E77" s="8">
        <f t="shared" si="3"/>
        <v>30240.621232868783</v>
      </c>
      <c r="F77" s="8">
        <f t="shared" si="5"/>
        <v>469169.51314788975</v>
      </c>
      <c r="G77" s="8"/>
      <c r="H77" s="8"/>
      <c r="I77" s="8"/>
      <c r="J77" s="8"/>
    </row>
    <row r="78" spans="1:10" ht="16" x14ac:dyDescent="0.2">
      <c r="A78" s="54" t="s">
        <v>255</v>
      </c>
      <c r="B78" s="54">
        <f t="shared" si="2"/>
        <v>36065.510389331481</v>
      </c>
      <c r="C78" s="54">
        <f t="shared" si="4"/>
        <v>581196.57414215733</v>
      </c>
      <c r="D78" s="8"/>
      <c r="E78" s="8">
        <f t="shared" si="3"/>
        <v>32595.57405493148</v>
      </c>
      <c r="F78" s="8">
        <f t="shared" si="5"/>
        <v>501765.08720282122</v>
      </c>
      <c r="G78" s="8"/>
      <c r="H78" s="8"/>
      <c r="I78" s="8"/>
      <c r="J78" s="8"/>
    </row>
    <row r="79" spans="1:10" ht="16" x14ac:dyDescent="0.2">
      <c r="A79" s="54" t="s">
        <v>256</v>
      </c>
      <c r="B79" s="54">
        <f t="shared" si="2"/>
        <v>35273.984143618727</v>
      </c>
      <c r="C79" s="54">
        <f t="shared" si="4"/>
        <v>616470.55828577606</v>
      </c>
      <c r="D79" s="8"/>
      <c r="E79" s="8">
        <f t="shared" si="3"/>
        <v>31818.940677442726</v>
      </c>
      <c r="F79" s="8">
        <f t="shared" si="5"/>
        <v>533584.02788026398</v>
      </c>
      <c r="G79" s="8"/>
      <c r="H79" s="8"/>
      <c r="I79" s="8"/>
      <c r="J79" s="8"/>
    </row>
    <row r="80" spans="1:10" ht="16" x14ac:dyDescent="0.2">
      <c r="A80" s="54" t="s">
        <v>257</v>
      </c>
      <c r="B80" s="54">
        <f t="shared" si="2"/>
        <v>29443.925237024727</v>
      </c>
      <c r="C80" s="54">
        <f t="shared" si="4"/>
        <v>645914.48352280073</v>
      </c>
      <c r="D80" s="8"/>
      <c r="E80" s="8">
        <f t="shared" si="3"/>
        <v>26098.576552928727</v>
      </c>
      <c r="F80" s="8">
        <f t="shared" si="5"/>
        <v>559682.60443319276</v>
      </c>
      <c r="G80" s="8"/>
      <c r="H80" s="8"/>
      <c r="I80" s="8"/>
      <c r="J80" s="8"/>
    </row>
    <row r="81" spans="1:14" ht="16" x14ac:dyDescent="0.2">
      <c r="A81" s="54" t="s">
        <v>258</v>
      </c>
      <c r="B81" s="54">
        <f t="shared" si="2"/>
        <v>26336.865558793383</v>
      </c>
      <c r="C81" s="54">
        <f t="shared" si="4"/>
        <v>672251.34908159415</v>
      </c>
      <c r="D81" s="8"/>
      <c r="E81" s="8">
        <f t="shared" si="3"/>
        <v>23049.977387665382</v>
      </c>
      <c r="F81" s="8">
        <f t="shared" si="5"/>
        <v>582732.58182085818</v>
      </c>
      <c r="G81" s="8"/>
      <c r="H81" s="8"/>
      <c r="I81" s="8"/>
      <c r="J81" s="8"/>
    </row>
    <row r="82" spans="1:14" ht="16" x14ac:dyDescent="0.2">
      <c r="A82" s="54" t="s">
        <v>259</v>
      </c>
      <c r="B82" s="54">
        <f t="shared" si="2"/>
        <v>35996.890170449136</v>
      </c>
      <c r="C82" s="54">
        <f t="shared" si="4"/>
        <v>708248.23925204331</v>
      </c>
      <c r="D82" s="8"/>
      <c r="E82" s="8">
        <f t="shared" si="3"/>
        <v>32528.244951641136</v>
      </c>
      <c r="F82" s="8">
        <f t="shared" si="5"/>
        <v>615260.82677249936</v>
      </c>
      <c r="G82" s="8"/>
      <c r="H82" s="8"/>
      <c r="I82" s="8"/>
      <c r="J82" s="8"/>
    </row>
    <row r="83" spans="1:14" ht="16" x14ac:dyDescent="0.2">
      <c r="A83" s="54" t="s">
        <v>260</v>
      </c>
      <c r="B83" s="54">
        <f t="shared" si="2"/>
        <v>38548.604821446526</v>
      </c>
      <c r="C83" s="54">
        <f t="shared" si="4"/>
        <v>746796.84407348977</v>
      </c>
      <c r="D83" s="8"/>
      <c r="E83" s="8">
        <f t="shared" si="3"/>
        <v>35031.948118182525</v>
      </c>
      <c r="F83" s="8">
        <f t="shared" si="5"/>
        <v>650292.77489068185</v>
      </c>
      <c r="G83" s="8"/>
      <c r="H83" s="8"/>
      <c r="I83" s="8"/>
      <c r="J83" s="8"/>
    </row>
    <row r="84" spans="1:14" ht="16" x14ac:dyDescent="0.2">
      <c r="A84" s="54" t="s">
        <v>261</v>
      </c>
      <c r="B84" s="54">
        <f t="shared" si="2"/>
        <v>33936.687784934664</v>
      </c>
      <c r="C84" s="54">
        <f t="shared" si="4"/>
        <v>780733.53185842442</v>
      </c>
      <c r="D84" s="8"/>
      <c r="E84" s="8">
        <f t="shared" si="3"/>
        <v>30506.806059830662</v>
      </c>
      <c r="F84" s="8">
        <f t="shared" si="5"/>
        <v>680799.58095051255</v>
      </c>
      <c r="G84" s="8"/>
      <c r="H84" s="8"/>
      <c r="I84" s="8"/>
      <c r="J84" s="8"/>
    </row>
    <row r="85" spans="1:14" ht="16" x14ac:dyDescent="0.2">
      <c r="A85" s="54" t="s">
        <v>227</v>
      </c>
      <c r="B85" s="54">
        <f t="shared" si="2"/>
        <v>43938.217671958409</v>
      </c>
      <c r="C85" s="54">
        <f t="shared" si="4"/>
        <v>824671.7495303828</v>
      </c>
      <c r="D85" s="8"/>
      <c r="E85" s="8">
        <f t="shared" si="3"/>
        <v>40320.153347158412</v>
      </c>
      <c r="F85" s="8">
        <f t="shared" si="5"/>
        <v>721119.73429767101</v>
      </c>
      <c r="G85" s="8"/>
      <c r="H85" s="8"/>
      <c r="I85" s="8"/>
      <c r="J85" s="8"/>
    </row>
    <row r="86" spans="1:14" x14ac:dyDescent="0.2">
      <c r="A86" s="8"/>
      <c r="B86" s="8"/>
      <c r="C86" s="8"/>
      <c r="D86" s="8"/>
      <c r="E86" s="8"/>
      <c r="F86" s="8"/>
      <c r="G86" s="8"/>
      <c r="H86" s="8"/>
      <c r="I86" s="8"/>
      <c r="J86" s="8"/>
    </row>
    <row r="87" spans="1:14" x14ac:dyDescent="0.2">
      <c r="A87" s="8"/>
      <c r="B87" s="8"/>
      <c r="C87" s="8"/>
      <c r="D87" s="8"/>
      <c r="E87" s="8"/>
      <c r="F87" s="8"/>
      <c r="G87" s="8"/>
      <c r="H87" s="8"/>
      <c r="I87" s="8"/>
      <c r="J87" s="8"/>
    </row>
    <row r="88" spans="1:14" x14ac:dyDescent="0.2">
      <c r="A88" s="8"/>
      <c r="B88" s="8"/>
      <c r="C88" s="8"/>
      <c r="D88" s="8"/>
      <c r="E88" s="8"/>
      <c r="F88" s="8"/>
      <c r="G88" s="8"/>
      <c r="H88" s="8"/>
      <c r="I88" s="8"/>
      <c r="J88" s="8"/>
    </row>
    <row r="89" spans="1:14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L89" s="155" t="s">
        <v>223</v>
      </c>
      <c r="M89" s="155"/>
      <c r="N89" s="155"/>
    </row>
    <row r="90" spans="1:14" ht="16" x14ac:dyDescent="0.2">
      <c r="A90" s="11" t="s">
        <v>4</v>
      </c>
      <c r="B90" s="11" t="s">
        <v>68</v>
      </c>
      <c r="C90" s="62" t="s">
        <v>360</v>
      </c>
      <c r="D90" s="8"/>
      <c r="E90" s="12"/>
      <c r="F90" s="8"/>
      <c r="G90" s="8"/>
      <c r="H90" s="8"/>
      <c r="I90" s="8"/>
      <c r="J90" s="8"/>
      <c r="L90" s="11" t="s">
        <v>4</v>
      </c>
      <c r="M90" s="98" t="s">
        <v>360</v>
      </c>
      <c r="N90" s="98" t="s">
        <v>363</v>
      </c>
    </row>
    <row r="91" spans="1:14" ht="16" x14ac:dyDescent="0.2">
      <c r="A91" s="54" t="s">
        <v>226</v>
      </c>
      <c r="B91" s="54">
        <f>B9</f>
        <v>11620</v>
      </c>
      <c r="C91" s="54">
        <f>B91</f>
        <v>11620</v>
      </c>
      <c r="D91" s="8"/>
      <c r="E91" s="8"/>
      <c r="F91" s="8"/>
      <c r="G91" s="8"/>
      <c r="H91" s="54">
        <f>I91*J91</f>
        <v>0</v>
      </c>
      <c r="I91" s="54">
        <v>0.2</v>
      </c>
      <c r="J91" s="8"/>
      <c r="L91" s="54" t="s">
        <v>226</v>
      </c>
      <c r="M91" s="5">
        <f>C91</f>
        <v>11620</v>
      </c>
      <c r="N91" s="5">
        <f>C50</f>
        <v>8164.4349599860207</v>
      </c>
    </row>
    <row r="92" spans="1:14" ht="16" x14ac:dyDescent="0.2">
      <c r="A92" s="54" t="s">
        <v>228</v>
      </c>
      <c r="B92" s="54">
        <f>B10</f>
        <v>11620</v>
      </c>
      <c r="C92" s="54">
        <f>C91+B92</f>
        <v>23240</v>
      </c>
      <c r="D92" s="8"/>
      <c r="E92" s="8"/>
      <c r="F92" s="8"/>
      <c r="G92" s="8"/>
      <c r="H92" s="54">
        <f t="shared" ref="H92:H126" si="6">I92*J92</f>
        <v>0</v>
      </c>
      <c r="I92" s="54">
        <v>0.214</v>
      </c>
      <c r="J92" s="8"/>
      <c r="L92" s="54" t="s">
        <v>228</v>
      </c>
      <c r="M92" s="5">
        <f>C92</f>
        <v>23240</v>
      </c>
      <c r="N92" s="5">
        <f t="shared" ref="N92:N126" si="7">C51</f>
        <v>17396.740901670211</v>
      </c>
    </row>
    <row r="93" spans="1:14" ht="16" x14ac:dyDescent="0.2">
      <c r="A93" s="54" t="s">
        <v>229</v>
      </c>
      <c r="B93" s="54">
        <f t="shared" ref="B93:B126" si="8">B11</f>
        <v>11620</v>
      </c>
      <c r="C93" s="54">
        <f t="shared" ref="C93:C126" si="9">C92+B93</f>
        <v>34860</v>
      </c>
      <c r="D93" s="8"/>
      <c r="E93" s="8"/>
      <c r="F93" s="8"/>
      <c r="G93" s="8"/>
      <c r="H93" s="54">
        <f t="shared" si="6"/>
        <v>0</v>
      </c>
      <c r="I93" s="54">
        <v>0.22900000000000001</v>
      </c>
      <c r="J93" s="8"/>
      <c r="L93" s="54" t="s">
        <v>229</v>
      </c>
      <c r="M93" s="5">
        <f t="shared" ref="M93:M126" si="10">C93</f>
        <v>34860</v>
      </c>
      <c r="N93" s="5">
        <f t="shared" si="7"/>
        <v>28338.475413101478</v>
      </c>
    </row>
    <row r="94" spans="1:14" ht="16" x14ac:dyDescent="0.2">
      <c r="A94" s="54" t="s">
        <v>230</v>
      </c>
      <c r="B94" s="54">
        <f t="shared" si="8"/>
        <v>11620</v>
      </c>
      <c r="C94" s="54">
        <f t="shared" si="9"/>
        <v>46480</v>
      </c>
      <c r="D94" s="8"/>
      <c r="E94" s="8"/>
      <c r="F94" s="8"/>
      <c r="G94" s="8"/>
      <c r="H94" s="54">
        <f t="shared" si="6"/>
        <v>0</v>
      </c>
      <c r="I94" s="54">
        <v>0.24299999999999999</v>
      </c>
      <c r="J94" s="8"/>
      <c r="L94" s="54" t="s">
        <v>230</v>
      </c>
      <c r="M94" s="5">
        <f t="shared" si="10"/>
        <v>46480</v>
      </c>
      <c r="N94" s="5">
        <f t="shared" si="7"/>
        <v>40512.761270480631</v>
      </c>
    </row>
    <row r="95" spans="1:14" ht="16" x14ac:dyDescent="0.2">
      <c r="A95" s="54" t="s">
        <v>231</v>
      </c>
      <c r="B95" s="54">
        <f t="shared" si="8"/>
        <v>11620</v>
      </c>
      <c r="C95" s="54">
        <f t="shared" si="9"/>
        <v>58100</v>
      </c>
      <c r="D95" s="9"/>
      <c r="E95" s="8"/>
      <c r="F95" s="8"/>
      <c r="G95" s="8"/>
      <c r="H95" s="54">
        <f t="shared" si="6"/>
        <v>0</v>
      </c>
      <c r="I95" s="54">
        <v>0.25700000000000001</v>
      </c>
      <c r="J95" s="8"/>
      <c r="L95" s="54" t="s">
        <v>231</v>
      </c>
      <c r="M95" s="5">
        <f t="shared" si="10"/>
        <v>58100</v>
      </c>
      <c r="N95" s="5">
        <f t="shared" si="7"/>
        <v>53984.542842807554</v>
      </c>
    </row>
    <row r="96" spans="1:14" ht="16" x14ac:dyDescent="0.2">
      <c r="A96" s="54" t="s">
        <v>232</v>
      </c>
      <c r="B96" s="54">
        <f t="shared" si="8"/>
        <v>11620</v>
      </c>
      <c r="C96" s="54">
        <f t="shared" si="9"/>
        <v>69720</v>
      </c>
      <c r="D96" s="8"/>
      <c r="E96" s="8"/>
      <c r="F96" s="8"/>
      <c r="G96" s="8"/>
      <c r="H96" s="54">
        <f t="shared" si="6"/>
        <v>0</v>
      </c>
      <c r="I96" s="54">
        <v>0.27100000000000002</v>
      </c>
      <c r="J96" s="8"/>
      <c r="L96" s="54" t="s">
        <v>232</v>
      </c>
      <c r="M96" s="5">
        <f t="shared" si="10"/>
        <v>69720</v>
      </c>
      <c r="N96" s="5">
        <f t="shared" si="7"/>
        <v>67561.627070584305</v>
      </c>
    </row>
    <row r="97" spans="1:14" ht="16" x14ac:dyDescent="0.2">
      <c r="A97" s="54" t="s">
        <v>233</v>
      </c>
      <c r="B97" s="54">
        <f t="shared" si="8"/>
        <v>11620</v>
      </c>
      <c r="C97" s="54">
        <f t="shared" si="9"/>
        <v>81340</v>
      </c>
      <c r="D97" s="8"/>
      <c r="E97" s="8"/>
      <c r="F97" s="8"/>
      <c r="G97" s="8"/>
      <c r="H97" s="54">
        <f t="shared" si="6"/>
        <v>0</v>
      </c>
      <c r="I97" s="54">
        <v>0.28599999999999998</v>
      </c>
      <c r="J97" s="8"/>
      <c r="L97" s="54" t="s">
        <v>233</v>
      </c>
      <c r="M97" s="5">
        <f t="shared" si="10"/>
        <v>81340</v>
      </c>
      <c r="N97" s="5">
        <f t="shared" si="7"/>
        <v>79236.769063364307</v>
      </c>
    </row>
    <row r="98" spans="1:14" ht="16" x14ac:dyDescent="0.2">
      <c r="A98" s="54" t="s">
        <v>234</v>
      </c>
      <c r="B98" s="54">
        <f t="shared" si="8"/>
        <v>11620</v>
      </c>
      <c r="C98" s="54">
        <f t="shared" si="9"/>
        <v>92960</v>
      </c>
      <c r="D98" s="8"/>
      <c r="E98" s="8"/>
      <c r="F98" s="8"/>
      <c r="G98" s="8"/>
      <c r="H98" s="54">
        <f t="shared" si="6"/>
        <v>0</v>
      </c>
      <c r="I98" s="54">
        <v>0.3</v>
      </c>
      <c r="J98" s="8"/>
      <c r="L98" s="54" t="s">
        <v>234</v>
      </c>
      <c r="M98" s="5">
        <f t="shared" si="10"/>
        <v>92960</v>
      </c>
      <c r="N98" s="5">
        <f t="shared" si="7"/>
        <v>89952.589948345965</v>
      </c>
    </row>
    <row r="99" spans="1:14" ht="16" x14ac:dyDescent="0.2">
      <c r="A99" s="54" t="s">
        <v>235</v>
      </c>
      <c r="B99" s="54">
        <f t="shared" si="8"/>
        <v>11620</v>
      </c>
      <c r="C99" s="54">
        <f t="shared" si="9"/>
        <v>104580</v>
      </c>
      <c r="D99" s="8"/>
      <c r="E99" s="8"/>
      <c r="F99" s="8"/>
      <c r="G99" s="8"/>
      <c r="H99" s="54">
        <f t="shared" si="6"/>
        <v>0</v>
      </c>
      <c r="I99" s="54">
        <v>0.314</v>
      </c>
      <c r="J99" s="8"/>
      <c r="L99" s="54" t="s">
        <v>235</v>
      </c>
      <c r="M99" s="5">
        <f t="shared" si="10"/>
        <v>104580</v>
      </c>
      <c r="N99" s="5">
        <f t="shared" si="7"/>
        <v>104955.66696402027</v>
      </c>
    </row>
    <row r="100" spans="1:14" ht="16" x14ac:dyDescent="0.2">
      <c r="A100" s="54" t="s">
        <v>236</v>
      </c>
      <c r="B100" s="54">
        <f t="shared" si="8"/>
        <v>11620</v>
      </c>
      <c r="C100" s="54">
        <f t="shared" si="9"/>
        <v>116200</v>
      </c>
      <c r="D100" s="8"/>
      <c r="E100" s="8"/>
      <c r="F100" s="8"/>
      <c r="G100" s="8"/>
      <c r="H100" s="54">
        <f t="shared" si="6"/>
        <v>0</v>
      </c>
      <c r="I100" s="54">
        <v>0.32900000000000001</v>
      </c>
      <c r="J100" s="8"/>
      <c r="L100" s="54" t="s">
        <v>236</v>
      </c>
      <c r="M100" s="5">
        <f t="shared" si="10"/>
        <v>116200</v>
      </c>
      <c r="N100" s="5">
        <f t="shared" si="7"/>
        <v>121438.54781619205</v>
      </c>
    </row>
    <row r="101" spans="1:14" ht="16" x14ac:dyDescent="0.2">
      <c r="A101" s="54" t="s">
        <v>237</v>
      </c>
      <c r="B101" s="54">
        <f t="shared" si="8"/>
        <v>11620</v>
      </c>
      <c r="C101" s="54">
        <f t="shared" si="9"/>
        <v>127820</v>
      </c>
      <c r="D101" s="8"/>
      <c r="E101" s="8"/>
      <c r="F101" s="8"/>
      <c r="G101" s="8"/>
      <c r="H101" s="54">
        <f t="shared" si="6"/>
        <v>0</v>
      </c>
      <c r="I101" s="54">
        <v>0.34300000000000003</v>
      </c>
      <c r="J101" s="8"/>
      <c r="L101" s="54" t="s">
        <v>237</v>
      </c>
      <c r="M101" s="5">
        <f t="shared" si="10"/>
        <v>127820</v>
      </c>
      <c r="N101" s="5">
        <f t="shared" si="7"/>
        <v>136236.1222928167</v>
      </c>
    </row>
    <row r="102" spans="1:14" ht="16" x14ac:dyDescent="0.2">
      <c r="A102" s="54" t="s">
        <v>238</v>
      </c>
      <c r="B102" s="54">
        <f t="shared" si="8"/>
        <v>11620</v>
      </c>
      <c r="C102" s="54">
        <f t="shared" si="9"/>
        <v>139440</v>
      </c>
      <c r="D102" s="8"/>
      <c r="E102" s="8"/>
      <c r="F102" s="8"/>
      <c r="G102" s="8"/>
      <c r="H102" s="54">
        <f t="shared" si="6"/>
        <v>0</v>
      </c>
      <c r="I102" s="54">
        <v>0.35699999999999998</v>
      </c>
      <c r="J102" s="8"/>
      <c r="L102" s="54" t="s">
        <v>238</v>
      </c>
      <c r="M102" s="5">
        <f t="shared" si="10"/>
        <v>139440</v>
      </c>
      <c r="N102" s="5">
        <f t="shared" si="7"/>
        <v>155777.88292488322</v>
      </c>
    </row>
    <row r="103" spans="1:14" ht="16" x14ac:dyDescent="0.2">
      <c r="A103" s="54" t="s">
        <v>239</v>
      </c>
      <c r="B103" s="54">
        <f t="shared" si="8"/>
        <v>20466.100000000002</v>
      </c>
      <c r="C103" s="54">
        <f t="shared" si="9"/>
        <v>159906.1</v>
      </c>
      <c r="D103" s="8"/>
      <c r="E103" s="8"/>
      <c r="F103" s="8"/>
      <c r="G103" s="8"/>
      <c r="H103" s="54">
        <f t="shared" si="6"/>
        <v>0</v>
      </c>
      <c r="I103" s="54">
        <v>0.371</v>
      </c>
      <c r="J103" s="8"/>
      <c r="L103" s="54" t="s">
        <v>239</v>
      </c>
      <c r="M103" s="5">
        <f t="shared" si="10"/>
        <v>159906.1</v>
      </c>
      <c r="N103" s="5">
        <f t="shared" si="7"/>
        <v>172141.52761851979</v>
      </c>
    </row>
    <row r="104" spans="1:14" ht="16" x14ac:dyDescent="0.2">
      <c r="A104" s="54" t="s">
        <v>240</v>
      </c>
      <c r="B104" s="54">
        <f t="shared" si="8"/>
        <v>20466.100000000002</v>
      </c>
      <c r="C104" s="54">
        <f t="shared" si="9"/>
        <v>180372.2</v>
      </c>
      <c r="D104" s="8"/>
      <c r="E104" s="8"/>
      <c r="F104" s="8"/>
      <c r="G104" s="8"/>
      <c r="H104" s="54">
        <f t="shared" si="6"/>
        <v>0</v>
      </c>
      <c r="I104" s="54">
        <v>0.38600000000000001</v>
      </c>
      <c r="J104" s="8"/>
      <c r="L104" s="54" t="s">
        <v>240</v>
      </c>
      <c r="M104" s="5">
        <f t="shared" si="10"/>
        <v>180372.2</v>
      </c>
      <c r="N104" s="5">
        <f t="shared" si="7"/>
        <v>190134.11880977699</v>
      </c>
    </row>
    <row r="105" spans="1:14" ht="16" x14ac:dyDescent="0.2">
      <c r="A105" s="54" t="s">
        <v>241</v>
      </c>
      <c r="B105" s="54">
        <f t="shared" si="8"/>
        <v>20466.100000000002</v>
      </c>
      <c r="C105" s="54">
        <f t="shared" si="9"/>
        <v>200838.30000000002</v>
      </c>
      <c r="D105" s="8"/>
      <c r="E105" s="8"/>
      <c r="F105" s="8"/>
      <c r="G105" s="8"/>
      <c r="H105" s="54">
        <f t="shared" si="6"/>
        <v>0</v>
      </c>
      <c r="I105" s="54">
        <v>0.4</v>
      </c>
      <c r="J105" s="8"/>
      <c r="L105" s="54" t="s">
        <v>241</v>
      </c>
      <c r="M105" s="5">
        <f t="shared" si="10"/>
        <v>200838.30000000002</v>
      </c>
      <c r="N105" s="5">
        <f t="shared" si="7"/>
        <v>210784.14825653718</v>
      </c>
    </row>
    <row r="106" spans="1:14" ht="16" x14ac:dyDescent="0.2">
      <c r="A106" s="54" t="s">
        <v>242</v>
      </c>
      <c r="B106" s="54">
        <f t="shared" si="8"/>
        <v>20466.100000000002</v>
      </c>
      <c r="C106" s="54">
        <f>C105+B106</f>
        <v>221304.40000000002</v>
      </c>
      <c r="D106" s="8"/>
      <c r="E106" s="8"/>
      <c r="F106" s="8"/>
      <c r="G106" s="8"/>
      <c r="H106" s="54">
        <f t="shared" si="6"/>
        <v>0</v>
      </c>
      <c r="I106" s="54">
        <v>0.41399999999999998</v>
      </c>
      <c r="J106" s="8"/>
      <c r="L106" s="54" t="s">
        <v>242</v>
      </c>
      <c r="M106" s="5">
        <f t="shared" si="10"/>
        <v>221304.40000000002</v>
      </c>
      <c r="N106" s="5">
        <f t="shared" si="7"/>
        <v>233194.44234934158</v>
      </c>
    </row>
    <row r="107" spans="1:14" ht="16" x14ac:dyDescent="0.2">
      <c r="A107" s="54" t="s">
        <v>243</v>
      </c>
      <c r="B107" s="54">
        <f t="shared" si="8"/>
        <v>20466.100000000002</v>
      </c>
      <c r="C107" s="54">
        <f t="shared" si="9"/>
        <v>241770.50000000003</v>
      </c>
      <c r="D107" s="8"/>
      <c r="E107" s="8"/>
      <c r="F107" s="8"/>
      <c r="G107" s="8"/>
      <c r="H107" s="54">
        <f t="shared" si="6"/>
        <v>0</v>
      </c>
      <c r="I107" s="54">
        <v>0.42899999999999999</v>
      </c>
      <c r="J107" s="8"/>
      <c r="L107" s="54" t="s">
        <v>243</v>
      </c>
      <c r="M107" s="5">
        <f t="shared" si="10"/>
        <v>241770.50000000003</v>
      </c>
      <c r="N107" s="5">
        <f t="shared" si="7"/>
        <v>257491.80830785114</v>
      </c>
    </row>
    <row r="108" spans="1:14" ht="16" x14ac:dyDescent="0.2">
      <c r="A108" s="54" t="s">
        <v>244</v>
      </c>
      <c r="B108" s="54">
        <f t="shared" si="8"/>
        <v>20466.100000000002</v>
      </c>
      <c r="C108" s="54">
        <f>C107+B108</f>
        <v>262236.60000000003</v>
      </c>
      <c r="D108" s="8"/>
      <c r="E108" s="8"/>
      <c r="F108" s="8"/>
      <c r="G108" s="8"/>
      <c r="H108" s="54">
        <f t="shared" si="6"/>
        <v>0</v>
      </c>
      <c r="I108" s="54">
        <v>0.443</v>
      </c>
      <c r="J108" s="8"/>
      <c r="L108" s="54" t="s">
        <v>244</v>
      </c>
      <c r="M108" s="5">
        <f t="shared" si="10"/>
        <v>262236.60000000003</v>
      </c>
      <c r="N108" s="5">
        <f t="shared" si="7"/>
        <v>281471.90561005491</v>
      </c>
    </row>
    <row r="109" spans="1:14" ht="16" x14ac:dyDescent="0.2">
      <c r="A109" s="54" t="s">
        <v>245</v>
      </c>
      <c r="B109" s="54">
        <f t="shared" si="8"/>
        <v>20466.100000000002</v>
      </c>
      <c r="C109" s="54">
        <f t="shared" si="9"/>
        <v>282702.7</v>
      </c>
      <c r="D109" s="8"/>
      <c r="E109" s="8"/>
      <c r="F109" s="8"/>
      <c r="G109" s="8"/>
      <c r="H109" s="54">
        <f t="shared" si="6"/>
        <v>0</v>
      </c>
      <c r="I109" s="54">
        <v>0.45700000000000002</v>
      </c>
      <c r="J109" s="8"/>
      <c r="L109" s="54" t="s">
        <v>245</v>
      </c>
      <c r="M109" s="5">
        <f t="shared" si="10"/>
        <v>282702.7</v>
      </c>
      <c r="N109" s="5">
        <f t="shared" si="7"/>
        <v>301628.74017876625</v>
      </c>
    </row>
    <row r="110" spans="1:14" ht="16" x14ac:dyDescent="0.2">
      <c r="A110" s="54" t="s">
        <v>246</v>
      </c>
      <c r="B110" s="54">
        <f t="shared" si="8"/>
        <v>20466.100000000002</v>
      </c>
      <c r="C110" s="54">
        <f t="shared" si="9"/>
        <v>303168.8</v>
      </c>
      <c r="D110" s="8"/>
      <c r="E110" s="8"/>
      <c r="F110" s="8"/>
      <c r="G110" s="8"/>
      <c r="H110" s="54">
        <f t="shared" si="6"/>
        <v>0</v>
      </c>
      <c r="I110" s="54">
        <v>0.47099999999999997</v>
      </c>
      <c r="J110" s="8"/>
      <c r="L110" s="54" t="s">
        <v>246</v>
      </c>
      <c r="M110" s="5">
        <f t="shared" si="10"/>
        <v>303168.8</v>
      </c>
      <c r="N110" s="5">
        <f t="shared" si="7"/>
        <v>319806.27944929176</v>
      </c>
    </row>
    <row r="111" spans="1:14" ht="16" x14ac:dyDescent="0.2">
      <c r="A111" s="54" t="s">
        <v>247</v>
      </c>
      <c r="B111" s="54">
        <f t="shared" si="8"/>
        <v>20466.100000000002</v>
      </c>
      <c r="C111" s="54">
        <f t="shared" si="9"/>
        <v>323634.89999999997</v>
      </c>
      <c r="D111" s="8"/>
      <c r="E111" s="8"/>
      <c r="F111" s="8"/>
      <c r="G111" s="8"/>
      <c r="H111" s="54">
        <f t="shared" si="6"/>
        <v>0</v>
      </c>
      <c r="I111" s="54">
        <v>0.48599999999999999</v>
      </c>
      <c r="J111" s="8"/>
      <c r="L111" s="54" t="s">
        <v>247</v>
      </c>
      <c r="M111" s="5">
        <f t="shared" si="10"/>
        <v>323634.89999999997</v>
      </c>
      <c r="N111" s="5">
        <f t="shared" si="7"/>
        <v>344896.0652271054</v>
      </c>
    </row>
    <row r="112" spans="1:14" ht="16" x14ac:dyDescent="0.2">
      <c r="A112" s="54" t="s">
        <v>248</v>
      </c>
      <c r="B112" s="54">
        <f t="shared" si="8"/>
        <v>20466.100000000002</v>
      </c>
      <c r="C112" s="54">
        <f t="shared" si="9"/>
        <v>344100.99999999994</v>
      </c>
      <c r="D112" s="8"/>
      <c r="E112" s="8"/>
      <c r="F112" s="8"/>
      <c r="G112" s="8"/>
      <c r="H112" s="54">
        <f t="shared" si="6"/>
        <v>0</v>
      </c>
      <c r="I112" s="54">
        <v>0.5</v>
      </c>
      <c r="J112" s="8"/>
      <c r="L112" s="54" t="s">
        <v>248</v>
      </c>
      <c r="M112" s="5">
        <f t="shared" si="10"/>
        <v>344100.99999999994</v>
      </c>
      <c r="N112" s="5">
        <f t="shared" si="7"/>
        <v>371961.6378029561</v>
      </c>
    </row>
    <row r="113" spans="1:14" ht="16" x14ac:dyDescent="0.2">
      <c r="A113" s="54" t="s">
        <v>249</v>
      </c>
      <c r="B113" s="54">
        <f t="shared" si="8"/>
        <v>20466.100000000002</v>
      </c>
      <c r="C113" s="54">
        <f t="shared" si="9"/>
        <v>364567.09999999992</v>
      </c>
      <c r="D113" s="8"/>
      <c r="E113" s="8"/>
      <c r="F113" s="8"/>
      <c r="G113" s="8"/>
      <c r="H113" s="54">
        <f t="shared" si="6"/>
        <v>0</v>
      </c>
      <c r="I113" s="54">
        <v>0.51400000000000001</v>
      </c>
      <c r="J113" s="8"/>
      <c r="L113" s="54" t="s">
        <v>249</v>
      </c>
      <c r="M113" s="5">
        <f t="shared" si="10"/>
        <v>364567.09999999992</v>
      </c>
      <c r="N113" s="5">
        <f t="shared" si="7"/>
        <v>395920.68410426751</v>
      </c>
    </row>
    <row r="114" spans="1:14" ht="16" x14ac:dyDescent="0.2">
      <c r="A114" s="54" t="s">
        <v>250</v>
      </c>
      <c r="B114" s="54">
        <f t="shared" si="8"/>
        <v>20466.100000000002</v>
      </c>
      <c r="C114" s="54">
        <f t="shared" si="9"/>
        <v>385033.1999999999</v>
      </c>
      <c r="D114" s="8"/>
      <c r="E114" s="8"/>
      <c r="F114" s="8"/>
      <c r="G114" s="8"/>
      <c r="H114" s="54">
        <f t="shared" si="6"/>
        <v>0</v>
      </c>
      <c r="I114" s="54">
        <v>0.52900000000000003</v>
      </c>
      <c r="J114" s="8"/>
      <c r="L114" s="54" t="s">
        <v>250</v>
      </c>
      <c r="M114" s="5">
        <f t="shared" si="10"/>
        <v>385033.1999999999</v>
      </c>
      <c r="N114" s="5">
        <f t="shared" si="7"/>
        <v>427207.48357333703</v>
      </c>
    </row>
    <row r="115" spans="1:14" ht="16" x14ac:dyDescent="0.2">
      <c r="A115" s="54" t="s">
        <v>251</v>
      </c>
      <c r="B115" s="54">
        <f t="shared" si="8"/>
        <v>24421.918000000005</v>
      </c>
      <c r="C115" s="54">
        <f t="shared" si="9"/>
        <v>409455.1179999999</v>
      </c>
      <c r="D115" s="8"/>
      <c r="E115" s="8"/>
      <c r="F115" s="8"/>
      <c r="G115" s="8"/>
      <c r="H115" s="54">
        <f t="shared" si="6"/>
        <v>0</v>
      </c>
      <c r="I115" s="54">
        <v>0.54300000000000004</v>
      </c>
      <c r="J115" s="8"/>
      <c r="L115" s="54" t="s">
        <v>251</v>
      </c>
      <c r="M115" s="5">
        <f t="shared" si="10"/>
        <v>409455.1179999999</v>
      </c>
      <c r="N115" s="5">
        <f t="shared" si="7"/>
        <v>452625.68930259685</v>
      </c>
    </row>
    <row r="116" spans="1:14" ht="16" x14ac:dyDescent="0.2">
      <c r="A116" s="54" t="s">
        <v>252</v>
      </c>
      <c r="B116" s="54">
        <f t="shared" si="8"/>
        <v>24421.918000000005</v>
      </c>
      <c r="C116" s="54">
        <f t="shared" si="9"/>
        <v>433877.03599999991</v>
      </c>
      <c r="D116" s="8"/>
      <c r="E116" s="8"/>
      <c r="F116" s="8"/>
      <c r="G116" s="8"/>
      <c r="H116" s="54">
        <f t="shared" si="6"/>
        <v>0</v>
      </c>
      <c r="I116" s="54">
        <v>0.55700000000000005</v>
      </c>
      <c r="J116" s="8"/>
      <c r="L116" s="54" t="s">
        <v>252</v>
      </c>
      <c r="M116" s="5">
        <f t="shared" si="10"/>
        <v>433877.03599999991</v>
      </c>
      <c r="N116" s="5">
        <f t="shared" si="7"/>
        <v>480180.69673147239</v>
      </c>
    </row>
    <row r="117" spans="1:14" ht="16" x14ac:dyDescent="0.2">
      <c r="A117" s="54" t="s">
        <v>253</v>
      </c>
      <c r="B117" s="54">
        <f t="shared" si="8"/>
        <v>24421.918000000005</v>
      </c>
      <c r="C117" s="54">
        <f t="shared" si="9"/>
        <v>458298.95399999991</v>
      </c>
      <c r="D117" s="8"/>
      <c r="E117" s="8"/>
      <c r="F117" s="8"/>
      <c r="G117" s="8"/>
      <c r="H117" s="54">
        <f t="shared" si="6"/>
        <v>0</v>
      </c>
      <c r="I117" s="54">
        <v>0.57099999999999995</v>
      </c>
      <c r="J117" s="8"/>
      <c r="L117" s="54" t="s">
        <v>253</v>
      </c>
      <c r="M117" s="5">
        <f t="shared" si="10"/>
        <v>458298.95399999991</v>
      </c>
      <c r="N117" s="5">
        <f t="shared" si="7"/>
        <v>511465.66520533303</v>
      </c>
    </row>
    <row r="118" spans="1:14" ht="16" x14ac:dyDescent="0.2">
      <c r="A118" s="54" t="s">
        <v>254</v>
      </c>
      <c r="B118" s="54">
        <f t="shared" si="8"/>
        <v>24421.918000000005</v>
      </c>
      <c r="C118" s="54">
        <f t="shared" si="9"/>
        <v>482720.87199999992</v>
      </c>
      <c r="D118" s="8"/>
      <c r="E118" s="8"/>
      <c r="F118" s="8"/>
      <c r="G118" s="8"/>
      <c r="H118" s="54">
        <f t="shared" si="6"/>
        <v>0</v>
      </c>
      <c r="I118" s="54">
        <v>0.58599999999999997</v>
      </c>
      <c r="J118" s="8"/>
      <c r="L118" s="54" t="s">
        <v>254</v>
      </c>
      <c r="M118" s="5">
        <f t="shared" si="10"/>
        <v>482720.87199999992</v>
      </c>
      <c r="N118" s="5">
        <f t="shared" si="7"/>
        <v>545131.06375282584</v>
      </c>
    </row>
    <row r="119" spans="1:14" ht="16" x14ac:dyDescent="0.2">
      <c r="A119" s="54" t="s">
        <v>255</v>
      </c>
      <c r="B119" s="54">
        <f t="shared" si="8"/>
        <v>24421.918000000005</v>
      </c>
      <c r="C119" s="54">
        <f t="shared" si="9"/>
        <v>507142.78999999992</v>
      </c>
      <c r="D119" s="8"/>
      <c r="E119" s="8"/>
      <c r="F119" s="8"/>
      <c r="G119" s="8"/>
      <c r="H119" s="54">
        <f t="shared" si="6"/>
        <v>0</v>
      </c>
      <c r="I119" s="54">
        <v>0.6</v>
      </c>
      <c r="J119" s="8"/>
      <c r="L119" s="54" t="s">
        <v>255</v>
      </c>
      <c r="M119" s="5">
        <f t="shared" si="10"/>
        <v>507142.78999999992</v>
      </c>
      <c r="N119" s="5">
        <f t="shared" si="7"/>
        <v>581196.57414215733</v>
      </c>
    </row>
    <row r="120" spans="1:14" ht="16" x14ac:dyDescent="0.2">
      <c r="A120" s="54" t="s">
        <v>256</v>
      </c>
      <c r="B120" s="54">
        <f t="shared" si="8"/>
        <v>24421.918000000005</v>
      </c>
      <c r="C120" s="54">
        <f t="shared" si="9"/>
        <v>531564.70799999987</v>
      </c>
      <c r="D120" s="8"/>
      <c r="E120" s="8"/>
      <c r="F120" s="8"/>
      <c r="G120" s="8"/>
      <c r="H120" s="54">
        <f t="shared" si="6"/>
        <v>0</v>
      </c>
      <c r="I120" s="54">
        <v>0.61399999999999999</v>
      </c>
      <c r="J120" s="8"/>
      <c r="L120" s="54" t="s">
        <v>256</v>
      </c>
      <c r="M120" s="5">
        <f t="shared" si="10"/>
        <v>531564.70799999987</v>
      </c>
      <c r="N120" s="5">
        <f t="shared" si="7"/>
        <v>616470.55828577606</v>
      </c>
    </row>
    <row r="121" spans="1:14" ht="16" x14ac:dyDescent="0.2">
      <c r="A121" s="54" t="s">
        <v>257</v>
      </c>
      <c r="B121" s="54">
        <f t="shared" si="8"/>
        <v>24421.918000000005</v>
      </c>
      <c r="C121" s="54">
        <f t="shared" si="9"/>
        <v>555986.62599999993</v>
      </c>
      <c r="D121" s="8"/>
      <c r="E121" s="8"/>
      <c r="F121" s="8"/>
      <c r="G121" s="8"/>
      <c r="H121" s="54">
        <f t="shared" si="6"/>
        <v>0</v>
      </c>
      <c r="I121" s="54">
        <v>0.629</v>
      </c>
      <c r="J121" s="8"/>
      <c r="L121" s="54" t="s">
        <v>257</v>
      </c>
      <c r="M121" s="5">
        <f t="shared" si="10"/>
        <v>555986.62599999993</v>
      </c>
      <c r="N121" s="5">
        <f t="shared" si="7"/>
        <v>645914.48352280073</v>
      </c>
    </row>
    <row r="122" spans="1:14" ht="16" x14ac:dyDescent="0.2">
      <c r="A122" s="54" t="s">
        <v>258</v>
      </c>
      <c r="B122" s="54">
        <f t="shared" si="8"/>
        <v>24421.918000000005</v>
      </c>
      <c r="C122" s="54">
        <f t="shared" si="9"/>
        <v>580408.54399999999</v>
      </c>
      <c r="D122" s="8"/>
      <c r="E122" s="8"/>
      <c r="F122" s="8"/>
      <c r="G122" s="8"/>
      <c r="H122" s="54">
        <f t="shared" si="6"/>
        <v>0</v>
      </c>
      <c r="I122" s="54">
        <v>0.64300000000000002</v>
      </c>
      <c r="J122" s="8"/>
      <c r="L122" s="54" t="s">
        <v>258</v>
      </c>
      <c r="M122" s="5">
        <f t="shared" si="10"/>
        <v>580408.54399999999</v>
      </c>
      <c r="N122" s="5">
        <f t="shared" si="7"/>
        <v>672251.34908159415</v>
      </c>
    </row>
    <row r="123" spans="1:14" ht="16" x14ac:dyDescent="0.2">
      <c r="A123" s="54" t="s">
        <v>259</v>
      </c>
      <c r="B123" s="54">
        <f t="shared" si="8"/>
        <v>24421.918000000005</v>
      </c>
      <c r="C123" s="54">
        <f t="shared" si="9"/>
        <v>604830.46200000006</v>
      </c>
      <c r="D123" s="8"/>
      <c r="E123" s="8"/>
      <c r="F123" s="8"/>
      <c r="G123" s="8"/>
      <c r="H123" s="54">
        <f t="shared" si="6"/>
        <v>0</v>
      </c>
      <c r="I123" s="54">
        <v>0.65700000000000003</v>
      </c>
      <c r="J123" s="8"/>
      <c r="L123" s="54" t="s">
        <v>259</v>
      </c>
      <c r="M123" s="5">
        <f t="shared" si="10"/>
        <v>604830.46200000006</v>
      </c>
      <c r="N123" s="5">
        <f t="shared" si="7"/>
        <v>708248.23925204331</v>
      </c>
    </row>
    <row r="124" spans="1:14" ht="16" x14ac:dyDescent="0.2">
      <c r="A124" s="54" t="s">
        <v>260</v>
      </c>
      <c r="B124" s="54">
        <f t="shared" si="8"/>
        <v>24421.918000000005</v>
      </c>
      <c r="C124" s="54">
        <f t="shared" si="9"/>
        <v>629252.38000000012</v>
      </c>
      <c r="D124" s="8"/>
      <c r="E124" s="8"/>
      <c r="F124" s="8"/>
      <c r="G124" s="8"/>
      <c r="H124" s="54">
        <f t="shared" si="6"/>
        <v>0</v>
      </c>
      <c r="I124" s="54">
        <v>0.67100000000000004</v>
      </c>
      <c r="J124" s="8"/>
      <c r="L124" s="54" t="s">
        <v>260</v>
      </c>
      <c r="M124" s="5">
        <f t="shared" si="10"/>
        <v>629252.38000000012</v>
      </c>
      <c r="N124" s="5">
        <f t="shared" si="7"/>
        <v>746796.84407348977</v>
      </c>
    </row>
    <row r="125" spans="1:14" ht="16" x14ac:dyDescent="0.2">
      <c r="A125" s="54" t="s">
        <v>261</v>
      </c>
      <c r="B125" s="54">
        <f t="shared" si="8"/>
        <v>24421.918000000005</v>
      </c>
      <c r="C125" s="54">
        <f t="shared" si="9"/>
        <v>653674.29800000018</v>
      </c>
      <c r="D125" s="8"/>
      <c r="E125" s="8"/>
      <c r="F125" s="8"/>
      <c r="G125" s="8"/>
      <c r="H125" s="54">
        <f t="shared" si="6"/>
        <v>0</v>
      </c>
      <c r="I125" s="54">
        <v>0.68600000000000005</v>
      </c>
      <c r="J125" s="8"/>
      <c r="L125" s="54" t="s">
        <v>261</v>
      </c>
      <c r="M125" s="5">
        <f t="shared" si="10"/>
        <v>653674.29800000018</v>
      </c>
      <c r="N125" s="5">
        <f t="shared" si="7"/>
        <v>780733.53185842442</v>
      </c>
    </row>
    <row r="126" spans="1:14" ht="16" x14ac:dyDescent="0.2">
      <c r="A126" s="54" t="s">
        <v>227</v>
      </c>
      <c r="B126" s="54">
        <f t="shared" si="8"/>
        <v>24421.918000000005</v>
      </c>
      <c r="C126" s="54">
        <f t="shared" si="9"/>
        <v>678096.21600000025</v>
      </c>
      <c r="D126" s="8"/>
      <c r="E126" s="8"/>
      <c r="F126" s="8"/>
      <c r="G126" s="8"/>
      <c r="H126" s="54">
        <f t="shared" si="6"/>
        <v>0</v>
      </c>
      <c r="I126" s="54">
        <v>0.7</v>
      </c>
      <c r="J126" s="8"/>
      <c r="L126" s="54" t="s">
        <v>227</v>
      </c>
      <c r="M126" s="5">
        <f t="shared" si="10"/>
        <v>678096.21600000025</v>
      </c>
      <c r="N126" s="5">
        <f t="shared" si="7"/>
        <v>824671.7495303828</v>
      </c>
    </row>
    <row r="127" spans="1:14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4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 ht="19" x14ac:dyDescent="0.25">
      <c r="A129" s="127" t="s">
        <v>224</v>
      </c>
      <c r="B129" s="127"/>
      <c r="C129" s="8"/>
      <c r="D129" s="8"/>
      <c r="E129" s="8"/>
      <c r="F129" s="8"/>
      <c r="G129" s="8"/>
      <c r="H129" s="8"/>
      <c r="I129" s="8"/>
      <c r="J129" s="8"/>
    </row>
    <row r="130" spans="1:10" ht="16" x14ac:dyDescent="0.2">
      <c r="A130" s="11" t="s">
        <v>4</v>
      </c>
      <c r="B130" s="11" t="s">
        <v>361</v>
      </c>
      <c r="C130" s="8"/>
      <c r="D130" s="8"/>
      <c r="E130" s="8"/>
      <c r="F130" s="8"/>
      <c r="G130" s="8"/>
      <c r="H130" s="8"/>
      <c r="I130" s="8"/>
      <c r="J130" s="8"/>
    </row>
    <row r="131" spans="1:10" ht="16" x14ac:dyDescent="0.2">
      <c r="A131" s="54" t="s">
        <v>226</v>
      </c>
      <c r="B131" s="54" t="str">
        <f>IF(C50&gt;=C91,"OUI","NON")</f>
        <v>NON</v>
      </c>
      <c r="C131" s="8"/>
      <c r="D131" s="8"/>
      <c r="E131" s="8"/>
      <c r="F131" s="8"/>
      <c r="G131" s="8"/>
      <c r="H131" s="8"/>
      <c r="I131" s="8"/>
      <c r="J131" s="8"/>
    </row>
    <row r="132" spans="1:10" ht="16" x14ac:dyDescent="0.2">
      <c r="A132" s="54" t="s">
        <v>228</v>
      </c>
      <c r="B132" s="54" t="str">
        <f t="shared" ref="B132:B166" si="11">IF(C51&gt;=C92,"OUI","NON")</f>
        <v>NON</v>
      </c>
      <c r="C132" s="8"/>
      <c r="D132" s="8"/>
      <c r="E132" s="8"/>
      <c r="F132" s="8"/>
      <c r="G132" s="8"/>
      <c r="H132" s="8"/>
      <c r="I132" s="8"/>
      <c r="J132" s="8"/>
    </row>
    <row r="133" spans="1:10" ht="16" x14ac:dyDescent="0.2">
      <c r="A133" s="54" t="s">
        <v>229</v>
      </c>
      <c r="B133" s="54" t="str">
        <f t="shared" si="11"/>
        <v>NON</v>
      </c>
      <c r="C133" s="8"/>
      <c r="D133" s="8"/>
      <c r="E133" s="8"/>
      <c r="F133" s="8"/>
      <c r="G133" s="8"/>
      <c r="H133" s="8"/>
      <c r="I133" s="8"/>
      <c r="J133" s="8"/>
    </row>
    <row r="134" spans="1:10" ht="16" x14ac:dyDescent="0.2">
      <c r="A134" s="54" t="s">
        <v>230</v>
      </c>
      <c r="B134" s="54" t="str">
        <f t="shared" si="11"/>
        <v>NON</v>
      </c>
      <c r="C134" s="8"/>
      <c r="D134" s="8"/>
      <c r="E134" s="8"/>
      <c r="F134" s="8"/>
      <c r="G134" s="8"/>
      <c r="H134" s="8"/>
      <c r="I134" s="8"/>
      <c r="J134" s="8"/>
    </row>
    <row r="135" spans="1:10" ht="16" x14ac:dyDescent="0.2">
      <c r="A135" s="54" t="s">
        <v>231</v>
      </c>
      <c r="B135" s="54" t="str">
        <f t="shared" si="11"/>
        <v>NON</v>
      </c>
      <c r="C135" s="8"/>
      <c r="D135" s="8"/>
      <c r="E135" s="8"/>
      <c r="F135" s="8"/>
      <c r="G135" s="8"/>
      <c r="H135" s="8"/>
      <c r="I135" s="8"/>
      <c r="J135" s="8"/>
    </row>
    <row r="136" spans="1:10" ht="16" x14ac:dyDescent="0.2">
      <c r="A136" s="54" t="s">
        <v>232</v>
      </c>
      <c r="B136" s="54" t="str">
        <f t="shared" si="11"/>
        <v>NON</v>
      </c>
      <c r="C136" s="8"/>
      <c r="D136" s="8"/>
      <c r="E136" s="8"/>
      <c r="F136" s="8"/>
      <c r="G136" s="8"/>
      <c r="H136" s="8"/>
      <c r="I136" s="8"/>
      <c r="J136" s="8"/>
    </row>
    <row r="137" spans="1:10" ht="16" x14ac:dyDescent="0.2">
      <c r="A137" s="54" t="s">
        <v>233</v>
      </c>
      <c r="B137" s="54" t="str">
        <f t="shared" si="11"/>
        <v>NON</v>
      </c>
      <c r="C137" s="8"/>
      <c r="D137" s="8"/>
      <c r="E137" s="8"/>
      <c r="F137" s="8"/>
      <c r="G137" s="8"/>
      <c r="H137" s="8"/>
      <c r="I137" s="8"/>
      <c r="J137" s="8"/>
    </row>
    <row r="138" spans="1:10" ht="16" x14ac:dyDescent="0.2">
      <c r="A138" s="54" t="s">
        <v>234</v>
      </c>
      <c r="B138" s="54" t="str">
        <f t="shared" si="11"/>
        <v>NON</v>
      </c>
      <c r="C138" s="8"/>
      <c r="D138" s="8"/>
      <c r="E138" s="8"/>
      <c r="F138" s="8"/>
      <c r="G138" s="8"/>
      <c r="H138" s="8"/>
      <c r="I138" s="8"/>
      <c r="J138" s="8"/>
    </row>
    <row r="139" spans="1:10" ht="16" x14ac:dyDescent="0.2">
      <c r="A139" s="54" t="s">
        <v>235</v>
      </c>
      <c r="B139" s="54" t="str">
        <f t="shared" si="11"/>
        <v>OUI</v>
      </c>
      <c r="C139" s="8"/>
      <c r="D139" s="8"/>
      <c r="E139" s="8"/>
      <c r="F139" s="8"/>
      <c r="G139" s="8"/>
      <c r="H139" s="8"/>
      <c r="I139" s="8"/>
      <c r="J139" s="8"/>
    </row>
    <row r="140" spans="1:10" ht="16" x14ac:dyDescent="0.2">
      <c r="A140" s="54" t="s">
        <v>236</v>
      </c>
      <c r="B140" s="54" t="str">
        <f t="shared" si="11"/>
        <v>OUI</v>
      </c>
      <c r="C140" s="8"/>
      <c r="D140" s="8"/>
      <c r="E140" s="8"/>
      <c r="F140" s="8"/>
      <c r="G140" s="8"/>
      <c r="H140" s="8"/>
      <c r="I140" s="8"/>
      <c r="J140" s="8"/>
    </row>
    <row r="141" spans="1:10" ht="16" x14ac:dyDescent="0.2">
      <c r="A141" s="54" t="s">
        <v>237</v>
      </c>
      <c r="B141" s="54" t="str">
        <f t="shared" si="11"/>
        <v>OUI</v>
      </c>
      <c r="C141" s="8"/>
      <c r="D141" s="8"/>
      <c r="E141" s="8"/>
      <c r="F141" s="8"/>
      <c r="G141" s="8"/>
      <c r="H141" s="8"/>
      <c r="I141" s="8"/>
      <c r="J141" s="8"/>
    </row>
    <row r="142" spans="1:10" ht="16" x14ac:dyDescent="0.2">
      <c r="A142" s="54" t="s">
        <v>238</v>
      </c>
      <c r="B142" s="54" t="str">
        <f t="shared" si="11"/>
        <v>OUI</v>
      </c>
      <c r="C142" s="8"/>
      <c r="D142" s="8"/>
      <c r="E142" s="8"/>
      <c r="F142" s="8"/>
      <c r="G142" s="8"/>
      <c r="H142" s="8"/>
      <c r="I142" s="8"/>
      <c r="J142" s="8"/>
    </row>
    <row r="143" spans="1:10" ht="16" x14ac:dyDescent="0.2">
      <c r="A143" s="54" t="s">
        <v>239</v>
      </c>
      <c r="B143" s="54" t="str">
        <f t="shared" si="11"/>
        <v>OUI</v>
      </c>
      <c r="C143" s="8"/>
      <c r="D143" s="8"/>
      <c r="E143" s="8"/>
      <c r="F143" s="8"/>
      <c r="G143" s="8"/>
      <c r="H143" s="8"/>
      <c r="I143" s="8"/>
      <c r="J143" s="8"/>
    </row>
    <row r="144" spans="1:10" ht="16" x14ac:dyDescent="0.2">
      <c r="A144" s="54" t="s">
        <v>240</v>
      </c>
      <c r="B144" s="54" t="str">
        <f t="shared" si="11"/>
        <v>OUI</v>
      </c>
      <c r="C144" s="8"/>
      <c r="D144" s="8"/>
      <c r="E144" s="8"/>
      <c r="F144" s="8"/>
      <c r="G144" s="8"/>
      <c r="H144" s="8"/>
      <c r="I144" s="8"/>
      <c r="J144" s="8"/>
    </row>
    <row r="145" spans="1:10" ht="16" x14ac:dyDescent="0.2">
      <c r="A145" s="54" t="s">
        <v>241</v>
      </c>
      <c r="B145" s="54" t="str">
        <f t="shared" si="11"/>
        <v>OUI</v>
      </c>
      <c r="C145" s="8"/>
      <c r="D145" s="8"/>
      <c r="E145" s="8"/>
      <c r="F145" s="8"/>
      <c r="G145" s="8"/>
      <c r="H145" s="8"/>
      <c r="I145" s="8"/>
      <c r="J145" s="8"/>
    </row>
    <row r="146" spans="1:10" ht="16" x14ac:dyDescent="0.2">
      <c r="A146" s="54" t="s">
        <v>242</v>
      </c>
      <c r="B146" s="54" t="str">
        <f t="shared" si="11"/>
        <v>OUI</v>
      </c>
      <c r="C146" s="8"/>
      <c r="D146" s="8"/>
      <c r="E146" s="8"/>
      <c r="F146" s="8"/>
      <c r="G146" s="8"/>
      <c r="H146" s="8"/>
      <c r="I146" s="8"/>
      <c r="J146" s="8"/>
    </row>
    <row r="147" spans="1:10" ht="16" x14ac:dyDescent="0.2">
      <c r="A147" s="54" t="s">
        <v>243</v>
      </c>
      <c r="B147" s="54" t="str">
        <f t="shared" si="11"/>
        <v>OUI</v>
      </c>
      <c r="C147" s="8"/>
      <c r="D147" s="8"/>
      <c r="E147" s="8"/>
      <c r="F147" s="8"/>
      <c r="G147" s="8"/>
      <c r="H147" s="8"/>
      <c r="I147" s="8"/>
      <c r="J147" s="8"/>
    </row>
    <row r="148" spans="1:10" ht="16" x14ac:dyDescent="0.2">
      <c r="A148" s="54" t="s">
        <v>244</v>
      </c>
      <c r="B148" s="54" t="str">
        <f t="shared" si="11"/>
        <v>OUI</v>
      </c>
      <c r="C148" s="8"/>
      <c r="D148" s="8"/>
      <c r="E148" s="8"/>
      <c r="F148" s="8"/>
      <c r="G148" s="8"/>
      <c r="H148" s="8"/>
      <c r="I148" s="8"/>
      <c r="J148" s="8"/>
    </row>
    <row r="149" spans="1:10" ht="16" x14ac:dyDescent="0.2">
      <c r="A149" s="54" t="s">
        <v>245</v>
      </c>
      <c r="B149" s="54" t="str">
        <f t="shared" si="11"/>
        <v>OUI</v>
      </c>
      <c r="C149" s="8"/>
      <c r="D149" s="8"/>
      <c r="E149" s="8"/>
      <c r="F149" s="8"/>
      <c r="G149" s="8"/>
      <c r="H149" s="8"/>
      <c r="I149" s="8"/>
      <c r="J149" s="8"/>
    </row>
    <row r="150" spans="1:10" ht="16" x14ac:dyDescent="0.2">
      <c r="A150" s="54" t="s">
        <v>246</v>
      </c>
      <c r="B150" s="54" t="str">
        <f t="shared" si="11"/>
        <v>OUI</v>
      </c>
    </row>
    <row r="151" spans="1:10" ht="16" x14ac:dyDescent="0.2">
      <c r="A151" s="54" t="s">
        <v>247</v>
      </c>
      <c r="B151" s="54" t="str">
        <f t="shared" si="11"/>
        <v>OUI</v>
      </c>
    </row>
    <row r="152" spans="1:10" ht="16" x14ac:dyDescent="0.2">
      <c r="A152" s="54" t="s">
        <v>248</v>
      </c>
      <c r="B152" s="54" t="str">
        <f t="shared" si="11"/>
        <v>OUI</v>
      </c>
    </row>
    <row r="153" spans="1:10" ht="16" x14ac:dyDescent="0.2">
      <c r="A153" s="54" t="s">
        <v>249</v>
      </c>
      <c r="B153" s="54" t="str">
        <f t="shared" si="11"/>
        <v>OUI</v>
      </c>
    </row>
    <row r="154" spans="1:10" ht="16" x14ac:dyDescent="0.2">
      <c r="A154" s="54" t="s">
        <v>250</v>
      </c>
      <c r="B154" s="54" t="str">
        <f t="shared" si="11"/>
        <v>OUI</v>
      </c>
    </row>
    <row r="155" spans="1:10" ht="16" x14ac:dyDescent="0.2">
      <c r="A155" s="54" t="s">
        <v>251</v>
      </c>
      <c r="B155" s="54" t="str">
        <f t="shared" si="11"/>
        <v>OUI</v>
      </c>
    </row>
    <row r="156" spans="1:10" ht="16" x14ac:dyDescent="0.2">
      <c r="A156" s="54" t="s">
        <v>252</v>
      </c>
      <c r="B156" s="54" t="str">
        <f t="shared" si="11"/>
        <v>OUI</v>
      </c>
    </row>
    <row r="157" spans="1:10" ht="16" x14ac:dyDescent="0.2">
      <c r="A157" s="54" t="s">
        <v>253</v>
      </c>
      <c r="B157" s="54" t="str">
        <f t="shared" si="11"/>
        <v>OUI</v>
      </c>
    </row>
    <row r="158" spans="1:10" ht="16" x14ac:dyDescent="0.2">
      <c r="A158" s="54" t="s">
        <v>254</v>
      </c>
      <c r="B158" s="54" t="str">
        <f t="shared" si="11"/>
        <v>OUI</v>
      </c>
    </row>
    <row r="159" spans="1:10" ht="16" x14ac:dyDescent="0.2">
      <c r="A159" s="54" t="s">
        <v>255</v>
      </c>
      <c r="B159" s="54" t="str">
        <f t="shared" si="11"/>
        <v>OUI</v>
      </c>
    </row>
    <row r="160" spans="1:10" ht="16" x14ac:dyDescent="0.2">
      <c r="A160" s="54" t="s">
        <v>256</v>
      </c>
      <c r="B160" s="54" t="str">
        <f t="shared" si="11"/>
        <v>OUI</v>
      </c>
    </row>
    <row r="161" spans="1:2" ht="16" x14ac:dyDescent="0.2">
      <c r="A161" s="54" t="s">
        <v>257</v>
      </c>
      <c r="B161" s="54" t="str">
        <f t="shared" si="11"/>
        <v>OUI</v>
      </c>
    </row>
    <row r="162" spans="1:2" ht="16" x14ac:dyDescent="0.2">
      <c r="A162" s="54" t="s">
        <v>258</v>
      </c>
      <c r="B162" s="54" t="str">
        <f t="shared" si="11"/>
        <v>OUI</v>
      </c>
    </row>
    <row r="163" spans="1:2" ht="16" x14ac:dyDescent="0.2">
      <c r="A163" s="54" t="s">
        <v>259</v>
      </c>
      <c r="B163" s="54" t="str">
        <f t="shared" si="11"/>
        <v>OUI</v>
      </c>
    </row>
    <row r="164" spans="1:2" ht="16" x14ac:dyDescent="0.2">
      <c r="A164" s="54" t="s">
        <v>260</v>
      </c>
      <c r="B164" s="54" t="str">
        <f t="shared" si="11"/>
        <v>OUI</v>
      </c>
    </row>
    <row r="165" spans="1:2" ht="16" x14ac:dyDescent="0.2">
      <c r="A165" s="54" t="s">
        <v>261</v>
      </c>
      <c r="B165" s="54" t="str">
        <f t="shared" si="11"/>
        <v>OUI</v>
      </c>
    </row>
    <row r="166" spans="1:2" ht="16" x14ac:dyDescent="0.2">
      <c r="A166" s="54" t="s">
        <v>227</v>
      </c>
      <c r="B166" s="54" t="str">
        <f t="shared" si="11"/>
        <v>OUI</v>
      </c>
    </row>
  </sheetData>
  <mergeCells count="4">
    <mergeCell ref="A7:H7"/>
    <mergeCell ref="A129:B129"/>
    <mergeCell ref="E6:F6"/>
    <mergeCell ref="L89:N89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0E581-8150-A642-B7D1-C78003A30573}">
  <dimension ref="A1:AA174"/>
  <sheetViews>
    <sheetView topLeftCell="B9" zoomScale="75" zoomScaleNormal="87" workbookViewId="0">
      <selection activeCell="J88" sqref="J88"/>
    </sheetView>
  </sheetViews>
  <sheetFormatPr baseColWidth="10" defaultRowHeight="15" x14ac:dyDescent="0.2"/>
  <cols>
    <col min="1" max="1" width="23.33203125" customWidth="1"/>
    <col min="2" max="2" width="28" customWidth="1"/>
    <col min="3" max="4" width="18.33203125" customWidth="1"/>
    <col min="5" max="5" width="17.1640625" customWidth="1"/>
    <col min="6" max="6" width="24.83203125" customWidth="1"/>
    <col min="7" max="7" width="14.6640625" customWidth="1"/>
    <col min="9" max="12" width="20.1640625" customWidth="1"/>
  </cols>
  <sheetData>
    <row r="1" spans="1:14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6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8"/>
      <c r="M2" s="8"/>
      <c r="N2" s="8"/>
    </row>
    <row r="3" spans="1:14" ht="19" x14ac:dyDescent="0.25">
      <c r="A3" s="127" t="s">
        <v>142</v>
      </c>
      <c r="B3" s="127"/>
      <c r="C3" s="53"/>
      <c r="D3" s="53"/>
      <c r="E3" s="53"/>
      <c r="F3" s="53"/>
      <c r="G3" s="53"/>
      <c r="H3" s="53"/>
      <c r="I3" s="53"/>
      <c r="J3" s="53"/>
      <c r="K3" s="53"/>
      <c r="L3" s="8"/>
      <c r="M3" s="8"/>
      <c r="N3" s="8"/>
    </row>
    <row r="4" spans="1:14" ht="16" x14ac:dyDescent="0.2">
      <c r="A4" s="54" t="s">
        <v>143</v>
      </c>
      <c r="B4" s="54">
        <v>34</v>
      </c>
      <c r="C4" s="53"/>
      <c r="D4" s="53"/>
      <c r="E4" s="53"/>
      <c r="F4" s="53"/>
      <c r="G4" s="53"/>
      <c r="H4" s="53"/>
      <c r="I4" s="53"/>
      <c r="J4" s="53"/>
      <c r="K4" s="53"/>
      <c r="L4" s="8"/>
      <c r="M4" s="8"/>
      <c r="N4" s="8"/>
    </row>
    <row r="5" spans="1:14" ht="16" x14ac:dyDescent="0.2">
      <c r="A5" s="54" t="s">
        <v>144</v>
      </c>
      <c r="B5" s="54">
        <v>18</v>
      </c>
      <c r="C5" s="55" t="s">
        <v>297</v>
      </c>
      <c r="D5" s="53"/>
      <c r="E5" s="53"/>
      <c r="F5" s="53"/>
      <c r="G5" s="53"/>
      <c r="H5" s="53"/>
      <c r="I5" s="53"/>
      <c r="J5" s="53"/>
      <c r="K5" s="53"/>
      <c r="L5" s="8"/>
      <c r="M5" s="8"/>
      <c r="N5" s="8"/>
    </row>
    <row r="6" spans="1:14" ht="16" x14ac:dyDescent="0.2">
      <c r="A6" s="54" t="s">
        <v>145</v>
      </c>
      <c r="B6" s="54">
        <v>1.3</v>
      </c>
      <c r="C6" s="53"/>
      <c r="D6" s="53"/>
      <c r="E6" s="53"/>
      <c r="F6" s="53"/>
      <c r="G6" s="53"/>
      <c r="H6" s="53"/>
      <c r="I6" s="53"/>
      <c r="J6" s="53"/>
      <c r="K6" s="53"/>
      <c r="L6" s="8"/>
      <c r="M6" s="8"/>
      <c r="N6" s="8"/>
    </row>
    <row r="7" spans="1:14" ht="16" x14ac:dyDescent="0.2">
      <c r="A7" s="54" t="s">
        <v>283</v>
      </c>
      <c r="B7" s="54">
        <f>'Coûts &amp; variables'!K10</f>
        <v>35.24940968122786</v>
      </c>
      <c r="C7" s="53"/>
      <c r="D7" s="53"/>
      <c r="E7" s="53"/>
      <c r="F7" s="53"/>
      <c r="G7" s="53"/>
      <c r="H7" s="53"/>
      <c r="I7" s="53"/>
      <c r="J7" s="53"/>
      <c r="K7" s="53"/>
      <c r="L7" s="8"/>
      <c r="M7" s="8"/>
      <c r="N7" s="8"/>
    </row>
    <row r="8" spans="1:14" ht="16" x14ac:dyDescent="0.2">
      <c r="A8" s="54" t="s">
        <v>284</v>
      </c>
      <c r="B8" s="54">
        <f>'Coûts &amp; variables'!K11</f>
        <v>61.437426208161149</v>
      </c>
      <c r="C8" s="53"/>
      <c r="D8" s="53"/>
      <c r="E8" s="53"/>
      <c r="F8" s="53"/>
      <c r="G8" s="53"/>
      <c r="H8" s="53"/>
      <c r="I8" s="53"/>
      <c r="J8" s="53"/>
      <c r="K8" s="53"/>
      <c r="L8" s="8"/>
      <c r="M8" s="8"/>
      <c r="N8" s="8"/>
    </row>
    <row r="9" spans="1:14" ht="16" x14ac:dyDescent="0.2">
      <c r="A9" s="54" t="s">
        <v>154</v>
      </c>
      <c r="B9" s="54">
        <f>B7*(1+B13)</f>
        <v>36.306891971664697</v>
      </c>
      <c r="C9" s="53"/>
      <c r="D9" s="53"/>
      <c r="E9" s="53"/>
      <c r="F9" s="53"/>
      <c r="G9" s="53"/>
      <c r="H9" s="53"/>
      <c r="I9" s="53"/>
      <c r="J9" s="53"/>
      <c r="K9" s="53"/>
      <c r="L9" s="8"/>
      <c r="M9" s="8"/>
      <c r="N9" s="8"/>
    </row>
    <row r="10" spans="1:14" ht="16" x14ac:dyDescent="0.2">
      <c r="A10" s="54" t="s">
        <v>155</v>
      </c>
      <c r="B10" s="54">
        <f>B8*(1+B13)</f>
        <v>63.280548994405983</v>
      </c>
      <c r="C10" s="53"/>
      <c r="D10" s="53"/>
      <c r="E10" s="53"/>
      <c r="F10" s="53"/>
      <c r="G10" s="56"/>
      <c r="H10" s="53"/>
      <c r="I10" s="53"/>
      <c r="J10" s="53"/>
      <c r="K10" s="53"/>
      <c r="L10" s="8"/>
      <c r="M10" s="8"/>
      <c r="N10" s="8"/>
    </row>
    <row r="11" spans="1:14" ht="16" x14ac:dyDescent="0.2">
      <c r="A11" s="54" t="s">
        <v>156</v>
      </c>
      <c r="B11" s="54">
        <f>B9*(1+B13)</f>
        <v>37.396098730814636</v>
      </c>
      <c r="C11" s="53"/>
      <c r="D11" s="53"/>
      <c r="E11" s="53"/>
      <c r="F11" s="53"/>
      <c r="G11" s="56"/>
      <c r="H11" s="53"/>
      <c r="I11" s="53"/>
      <c r="J11" s="53"/>
      <c r="K11" s="53"/>
      <c r="L11" s="8"/>
      <c r="M11" s="8"/>
      <c r="N11" s="8"/>
    </row>
    <row r="12" spans="1:14" ht="16" x14ac:dyDescent="0.2">
      <c r="A12" s="54" t="s">
        <v>157</v>
      </c>
      <c r="B12" s="54">
        <f>B10*(1+B13)</f>
        <v>65.178965464238161</v>
      </c>
      <c r="C12" s="53"/>
      <c r="D12" s="53"/>
      <c r="E12" s="53"/>
      <c r="F12" s="53"/>
      <c r="G12" s="56"/>
      <c r="H12" s="53"/>
      <c r="I12" s="53"/>
      <c r="J12" s="53"/>
      <c r="K12" s="53"/>
      <c r="L12" s="8"/>
      <c r="M12" s="8"/>
      <c r="N12" s="8"/>
    </row>
    <row r="13" spans="1:14" ht="16" x14ac:dyDescent="0.2">
      <c r="A13" s="54" t="s">
        <v>167</v>
      </c>
      <c r="B13" s="54">
        <v>0.03</v>
      </c>
      <c r="C13" s="53"/>
      <c r="D13" s="53"/>
      <c r="E13" s="53"/>
      <c r="F13" s="53"/>
      <c r="G13" s="56"/>
      <c r="H13" s="53"/>
      <c r="I13" s="53"/>
      <c r="J13" s="53"/>
      <c r="K13" s="53"/>
      <c r="L13" s="8"/>
      <c r="M13" s="8"/>
      <c r="N13" s="8"/>
    </row>
    <row r="14" spans="1:14" ht="16" x14ac:dyDescent="0.2">
      <c r="A14" s="54" t="s">
        <v>141</v>
      </c>
      <c r="B14" s="54">
        <f>B4*B5</f>
        <v>612</v>
      </c>
      <c r="C14" s="55" t="s">
        <v>298</v>
      </c>
      <c r="D14" s="53"/>
      <c r="E14" s="53"/>
      <c r="F14" s="53"/>
      <c r="G14" s="56"/>
      <c r="H14" s="53"/>
      <c r="I14" s="53"/>
      <c r="J14" s="53"/>
      <c r="K14" s="53"/>
      <c r="L14" s="8"/>
      <c r="M14" s="8"/>
      <c r="N14" s="8"/>
    </row>
    <row r="15" spans="1:14" ht="16" x14ac:dyDescent="0.2">
      <c r="A15" s="54" t="s">
        <v>166</v>
      </c>
      <c r="B15" s="54">
        <f>3*B14</f>
        <v>1836</v>
      </c>
      <c r="C15" s="55" t="s">
        <v>298</v>
      </c>
      <c r="D15" s="53"/>
      <c r="E15" s="53"/>
      <c r="F15" s="53"/>
      <c r="G15" s="56"/>
      <c r="H15" s="53"/>
      <c r="I15" s="53"/>
      <c r="J15" s="53"/>
      <c r="K15" s="53"/>
      <c r="L15" s="8"/>
      <c r="M15" s="8"/>
      <c r="N15" s="8"/>
    </row>
    <row r="16" spans="1:14" ht="16" x14ac:dyDescent="0.2">
      <c r="A16" s="53"/>
      <c r="B16" s="53"/>
      <c r="C16" s="53"/>
      <c r="D16" s="53"/>
      <c r="E16" s="53"/>
      <c r="F16" s="53"/>
      <c r="G16" s="56"/>
      <c r="H16" s="53"/>
      <c r="I16" s="53"/>
      <c r="J16" s="53"/>
      <c r="K16" s="53"/>
      <c r="L16" s="8"/>
      <c r="M16" s="8"/>
      <c r="N16" s="8"/>
    </row>
    <row r="17" spans="1:14" ht="19" x14ac:dyDescent="0.25">
      <c r="A17" s="127" t="s">
        <v>1</v>
      </c>
      <c r="B17" s="127"/>
      <c r="C17" s="127"/>
      <c r="D17" s="127"/>
      <c r="E17" s="53"/>
      <c r="F17" s="53"/>
      <c r="G17" s="56"/>
      <c r="H17" s="53"/>
      <c r="I17" s="53"/>
      <c r="J17" s="53"/>
      <c r="K17" s="53"/>
      <c r="L17" s="8"/>
      <c r="M17" s="8"/>
      <c r="N17" s="8"/>
    </row>
    <row r="18" spans="1:14" ht="16" x14ac:dyDescent="0.2">
      <c r="A18" s="57" t="s">
        <v>0</v>
      </c>
      <c r="B18" s="57" t="s">
        <v>153</v>
      </c>
      <c r="C18" s="57" t="s">
        <v>148</v>
      </c>
      <c r="D18" s="57" t="s">
        <v>134</v>
      </c>
      <c r="E18" s="53"/>
      <c r="F18" s="58"/>
      <c r="G18" s="58"/>
      <c r="H18" s="53"/>
      <c r="I18" s="13"/>
      <c r="J18" s="53"/>
      <c r="K18" s="53"/>
      <c r="L18" s="8"/>
      <c r="M18" s="8"/>
      <c r="N18" s="8"/>
    </row>
    <row r="19" spans="1:14" ht="16" x14ac:dyDescent="0.2">
      <c r="A19" s="57" t="s">
        <v>149</v>
      </c>
      <c r="B19" s="54">
        <f>C19*D19</f>
        <v>0.17146666666666668</v>
      </c>
      <c r="C19" s="59">
        <f>SUM(K72:K74)/3</f>
        <v>0.21433333333333335</v>
      </c>
      <c r="D19" s="59">
        <v>0.8</v>
      </c>
      <c r="E19" s="53"/>
      <c r="F19" s="53"/>
      <c r="G19" s="56"/>
      <c r="H19" s="53"/>
      <c r="I19" s="56"/>
      <c r="J19" s="56"/>
      <c r="K19" s="53"/>
      <c r="L19" s="8"/>
      <c r="M19" s="8"/>
      <c r="N19" s="8"/>
    </row>
    <row r="20" spans="1:14" ht="16" x14ac:dyDescent="0.2">
      <c r="A20" s="60" t="s">
        <v>150</v>
      </c>
      <c r="B20" s="54">
        <f t="shared" ref="B20:B30" si="0">C20*D20</f>
        <v>0.2056</v>
      </c>
      <c r="C20" s="59">
        <f>SUM(K75:K77)/3</f>
        <v>0.25700000000000001</v>
      </c>
      <c r="D20" s="59">
        <v>0.8</v>
      </c>
      <c r="E20" s="53"/>
      <c r="F20" s="53"/>
      <c r="G20" s="56"/>
      <c r="H20" s="53"/>
      <c r="I20" s="56"/>
      <c r="J20" s="56"/>
      <c r="K20" s="53"/>
      <c r="L20" s="8"/>
      <c r="M20" s="8"/>
      <c r="N20" s="8"/>
    </row>
    <row r="21" spans="1:14" ht="16" x14ac:dyDescent="0.2">
      <c r="A21" s="60" t="s">
        <v>151</v>
      </c>
      <c r="B21" s="54">
        <f t="shared" si="0"/>
        <v>0.24</v>
      </c>
      <c r="C21" s="59">
        <f>SUM(K78:K80)/3</f>
        <v>0.3</v>
      </c>
      <c r="D21" s="59">
        <v>0.8</v>
      </c>
      <c r="E21" s="53"/>
      <c r="F21" s="53"/>
      <c r="G21" s="56"/>
      <c r="H21" s="53"/>
      <c r="I21" s="56"/>
      <c r="J21" s="56"/>
      <c r="K21" s="53"/>
      <c r="L21" s="8"/>
      <c r="M21" s="8"/>
      <c r="N21" s="8"/>
    </row>
    <row r="22" spans="1:14" ht="16" x14ac:dyDescent="0.2">
      <c r="A22" s="60" t="s">
        <v>152</v>
      </c>
      <c r="B22" s="54">
        <f t="shared" si="0"/>
        <v>0.27439999999999998</v>
      </c>
      <c r="C22" s="59">
        <f>SUM(K81:K83)/3</f>
        <v>0.34299999999999997</v>
      </c>
      <c r="D22" s="59">
        <v>0.8</v>
      </c>
      <c r="E22" s="53"/>
      <c r="F22" s="53"/>
      <c r="G22" s="56"/>
      <c r="H22" s="53"/>
      <c r="I22" s="56"/>
      <c r="J22" s="56"/>
      <c r="K22" s="53"/>
      <c r="L22" s="8"/>
      <c r="M22" s="8"/>
      <c r="N22" s="8"/>
    </row>
    <row r="23" spans="1:14" ht="16" x14ac:dyDescent="0.2">
      <c r="A23" s="60" t="s">
        <v>158</v>
      </c>
      <c r="B23" s="54">
        <f t="shared" si="0"/>
        <v>0.3201033333333333</v>
      </c>
      <c r="C23" s="59">
        <f>SUM(K84:K86)/3</f>
        <v>0.38566666666666666</v>
      </c>
      <c r="D23" s="59">
        <v>0.83</v>
      </c>
      <c r="E23" s="53"/>
      <c r="F23" s="53"/>
      <c r="G23" s="56"/>
      <c r="H23" s="53"/>
      <c r="I23" s="56"/>
      <c r="J23" s="56"/>
      <c r="K23" s="53"/>
      <c r="L23" s="8"/>
      <c r="M23" s="8"/>
      <c r="N23" s="8"/>
    </row>
    <row r="24" spans="1:14" ht="16" x14ac:dyDescent="0.2">
      <c r="A24" s="60" t="s">
        <v>159</v>
      </c>
      <c r="B24" s="54">
        <f t="shared" si="0"/>
        <v>0.35579333333333335</v>
      </c>
      <c r="C24" s="59">
        <f>SUM(K87:K89)/3</f>
        <v>0.4286666666666667</v>
      </c>
      <c r="D24" s="59">
        <v>0.83</v>
      </c>
      <c r="E24" s="53"/>
      <c r="F24" s="53"/>
      <c r="G24" s="56"/>
      <c r="H24" s="53"/>
      <c r="I24" s="56"/>
      <c r="J24" s="56"/>
      <c r="K24" s="53"/>
      <c r="L24" s="8"/>
      <c r="M24" s="8"/>
      <c r="N24" s="8"/>
    </row>
    <row r="25" spans="1:14" ht="16" x14ac:dyDescent="0.2">
      <c r="A25" s="60" t="s">
        <v>160</v>
      </c>
      <c r="B25" s="54">
        <f t="shared" si="0"/>
        <v>0.39120666666666665</v>
      </c>
      <c r="C25" s="59">
        <f>SUM(K90:K92)/3</f>
        <v>0.47133333333333333</v>
      </c>
      <c r="D25" s="59">
        <v>0.83</v>
      </c>
      <c r="E25" s="53"/>
      <c r="F25" s="53"/>
      <c r="G25" s="56"/>
      <c r="H25" s="53"/>
      <c r="I25" s="56"/>
      <c r="J25" s="56"/>
      <c r="K25" s="53"/>
      <c r="L25" s="8"/>
      <c r="M25" s="8"/>
      <c r="N25" s="8"/>
    </row>
    <row r="26" spans="1:14" ht="16" x14ac:dyDescent="0.2">
      <c r="A26" s="60" t="s">
        <v>161</v>
      </c>
      <c r="B26" s="54">
        <f t="shared" si="0"/>
        <v>0.4268966666666667</v>
      </c>
      <c r="C26" s="59">
        <f>SUM(K93:K95)/3</f>
        <v>0.51433333333333342</v>
      </c>
      <c r="D26" s="59">
        <v>0.83</v>
      </c>
      <c r="E26" s="53"/>
      <c r="F26" s="53"/>
      <c r="G26" s="56"/>
      <c r="H26" s="53"/>
      <c r="I26" s="56"/>
      <c r="J26" s="56"/>
      <c r="K26" s="53"/>
      <c r="L26" s="8"/>
      <c r="M26" s="8"/>
      <c r="N26" s="8"/>
    </row>
    <row r="27" spans="1:14" ht="16" x14ac:dyDescent="0.2">
      <c r="A27" s="60" t="s">
        <v>162</v>
      </c>
      <c r="B27" s="54">
        <f t="shared" si="0"/>
        <v>0.48459000000000002</v>
      </c>
      <c r="C27" s="59">
        <f>SUM(K96:K98)/3</f>
        <v>0.55700000000000005</v>
      </c>
      <c r="D27" s="59">
        <v>0.87</v>
      </c>
      <c r="E27" s="53"/>
      <c r="F27" s="53"/>
      <c r="G27" s="56"/>
      <c r="H27" s="53"/>
      <c r="I27" s="56"/>
      <c r="J27" s="56"/>
      <c r="K27" s="53"/>
      <c r="L27" s="8"/>
      <c r="M27" s="8"/>
      <c r="N27" s="8"/>
    </row>
    <row r="28" spans="1:14" ht="16" x14ac:dyDescent="0.2">
      <c r="A28" s="60" t="s">
        <v>163</v>
      </c>
      <c r="B28" s="54">
        <f t="shared" si="0"/>
        <v>0.52200000000000002</v>
      </c>
      <c r="C28" s="59">
        <f>SUM(K99:K101)/3</f>
        <v>0.6</v>
      </c>
      <c r="D28" s="59">
        <v>0.87</v>
      </c>
      <c r="E28" s="53"/>
      <c r="F28" s="53"/>
      <c r="G28" s="56"/>
      <c r="H28" s="53"/>
      <c r="I28" s="56"/>
      <c r="J28" s="56"/>
      <c r="K28" s="53"/>
      <c r="L28" s="8"/>
      <c r="M28" s="8"/>
      <c r="N28" s="8"/>
    </row>
    <row r="29" spans="1:14" ht="16" x14ac:dyDescent="0.2">
      <c r="A29" s="60" t="s">
        <v>164</v>
      </c>
      <c r="B29" s="54">
        <f t="shared" si="0"/>
        <v>0.55940999999999996</v>
      </c>
      <c r="C29" s="59">
        <f>SUM(K102:K104)/3</f>
        <v>0.64300000000000002</v>
      </c>
      <c r="D29" s="59">
        <v>0.87</v>
      </c>
      <c r="E29" s="53"/>
      <c r="F29" s="53"/>
      <c r="G29" s="56"/>
      <c r="H29" s="53"/>
      <c r="I29" s="56"/>
      <c r="J29" s="56"/>
      <c r="K29" s="53"/>
      <c r="L29" s="8"/>
      <c r="M29" s="8"/>
      <c r="N29" s="8"/>
    </row>
    <row r="30" spans="1:14" ht="16" x14ac:dyDescent="0.2">
      <c r="A30" s="60" t="s">
        <v>165</v>
      </c>
      <c r="B30" s="54">
        <f t="shared" si="0"/>
        <v>0.59653000000000012</v>
      </c>
      <c r="C30" s="59">
        <f>SUM(K105:K107)/3</f>
        <v>0.68566666666666676</v>
      </c>
      <c r="D30" s="59">
        <v>0.87</v>
      </c>
      <c r="E30" s="53"/>
      <c r="F30" s="53"/>
      <c r="G30" s="56"/>
      <c r="H30" s="53"/>
      <c r="I30" s="56"/>
      <c r="J30" s="56"/>
      <c r="K30" s="53"/>
      <c r="L30" s="8"/>
      <c r="M30" s="8"/>
      <c r="N30" s="8"/>
    </row>
    <row r="31" spans="1:14" ht="16" x14ac:dyDescent="0.2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8"/>
      <c r="M31" s="8"/>
      <c r="N31" s="8"/>
    </row>
    <row r="32" spans="1:14" ht="16" x14ac:dyDescent="0.2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8"/>
      <c r="M32" s="8"/>
      <c r="N32" s="8"/>
    </row>
    <row r="33" spans="1:27" ht="19" x14ac:dyDescent="0.25">
      <c r="A33" s="126" t="s">
        <v>3</v>
      </c>
      <c r="B33" s="127"/>
      <c r="C33" s="53"/>
      <c r="D33" s="53"/>
      <c r="E33" s="13"/>
      <c r="F33" s="53"/>
      <c r="G33" s="53"/>
      <c r="H33" s="53"/>
      <c r="I33" s="53"/>
      <c r="J33" s="53"/>
      <c r="K33" s="53"/>
      <c r="L33" s="8"/>
      <c r="M33" s="8"/>
      <c r="N33" s="8"/>
    </row>
    <row r="34" spans="1:27" ht="16" x14ac:dyDescent="0.2">
      <c r="A34" s="11" t="s">
        <v>4</v>
      </c>
      <c r="B34" s="11" t="s">
        <v>410</v>
      </c>
      <c r="C34" s="53"/>
      <c r="D34" s="53"/>
      <c r="E34" s="58"/>
      <c r="F34" s="58"/>
      <c r="G34" s="58"/>
      <c r="H34" s="53"/>
      <c r="I34" s="53"/>
      <c r="J34" s="53"/>
      <c r="K34" s="53"/>
      <c r="L34" s="8"/>
      <c r="M34" s="8"/>
      <c r="N34" s="8"/>
    </row>
    <row r="35" spans="1:27" ht="16" x14ac:dyDescent="0.2">
      <c r="A35" s="54" t="s">
        <v>6</v>
      </c>
      <c r="B35" s="54">
        <v>0.88</v>
      </c>
      <c r="C35" s="53"/>
      <c r="D35" s="53"/>
      <c r="E35" s="58"/>
      <c r="F35" s="56"/>
      <c r="G35" s="56"/>
      <c r="H35" s="53"/>
      <c r="I35" s="53"/>
      <c r="J35" s="53"/>
      <c r="K35" s="53"/>
      <c r="L35" s="8"/>
      <c r="M35" s="8"/>
      <c r="N35" s="8"/>
    </row>
    <row r="36" spans="1:27" ht="16" x14ac:dyDescent="0.2">
      <c r="A36" s="54" t="s">
        <v>7</v>
      </c>
      <c r="B36" s="54">
        <v>0.93</v>
      </c>
      <c r="C36" s="53"/>
      <c r="D36" s="53"/>
      <c r="E36" s="58"/>
      <c r="F36" s="56"/>
      <c r="G36" s="56"/>
      <c r="H36" s="53"/>
      <c r="I36" s="53"/>
      <c r="J36" s="53"/>
      <c r="K36" s="53"/>
      <c r="L36" s="8"/>
      <c r="M36" s="8"/>
      <c r="N36" s="8"/>
    </row>
    <row r="37" spans="1:27" ht="16" x14ac:dyDescent="0.2">
      <c r="A37" s="54" t="s">
        <v>8</v>
      </c>
      <c r="B37" s="54">
        <v>1.03</v>
      </c>
      <c r="C37" s="53"/>
      <c r="D37" s="53"/>
      <c r="E37" s="58"/>
      <c r="F37" s="56"/>
      <c r="G37" s="56"/>
      <c r="H37" s="53"/>
      <c r="I37" s="53"/>
      <c r="J37" s="53"/>
      <c r="K37" s="53"/>
      <c r="L37" s="8"/>
      <c r="M37" s="8"/>
      <c r="N37" s="8"/>
      <c r="X37" s="2"/>
      <c r="Y37" s="2"/>
      <c r="Z37" s="2"/>
      <c r="AA37" s="2"/>
    </row>
    <row r="38" spans="1:27" ht="16" x14ac:dyDescent="0.2">
      <c r="A38" s="54" t="s">
        <v>9</v>
      </c>
      <c r="B38" s="54">
        <v>1.08</v>
      </c>
      <c r="C38" s="53"/>
      <c r="D38" s="53"/>
      <c r="E38" s="58"/>
      <c r="F38" s="56"/>
      <c r="G38" s="56"/>
      <c r="H38" s="53"/>
      <c r="I38" s="53"/>
      <c r="J38" s="53"/>
      <c r="K38" s="53"/>
      <c r="L38" s="8"/>
      <c r="M38" s="8"/>
      <c r="N38" s="8"/>
    </row>
    <row r="39" spans="1:27" ht="16" x14ac:dyDescent="0.2">
      <c r="A39" s="54" t="s">
        <v>10</v>
      </c>
      <c r="B39" s="54">
        <v>1.1299999999999999</v>
      </c>
      <c r="C39" s="53"/>
      <c r="D39" s="53"/>
      <c r="E39" s="58"/>
      <c r="F39" s="56"/>
      <c r="G39" s="56"/>
      <c r="H39" s="53"/>
      <c r="I39" s="53"/>
      <c r="J39" s="53"/>
      <c r="K39" s="53"/>
      <c r="L39" s="8"/>
      <c r="M39" s="8"/>
      <c r="N39" s="8"/>
    </row>
    <row r="40" spans="1:27" ht="16" x14ac:dyDescent="0.2">
      <c r="A40" s="54" t="s">
        <v>11</v>
      </c>
      <c r="B40" s="54">
        <v>1.08</v>
      </c>
      <c r="C40" s="53"/>
      <c r="D40" s="53"/>
      <c r="E40" s="58"/>
      <c r="F40" s="56"/>
      <c r="G40" s="56"/>
      <c r="H40" s="53"/>
      <c r="I40" s="53"/>
      <c r="J40" s="53"/>
      <c r="K40" s="53"/>
      <c r="L40" s="8"/>
      <c r="M40" s="8"/>
      <c r="N40" s="8"/>
    </row>
    <row r="41" spans="1:27" ht="16" x14ac:dyDescent="0.2">
      <c r="A41" s="54" t="s">
        <v>12</v>
      </c>
      <c r="B41" s="54">
        <v>0.88</v>
      </c>
      <c r="C41" s="53"/>
      <c r="D41" s="53"/>
      <c r="E41" s="58"/>
      <c r="F41" s="56"/>
      <c r="G41" s="56"/>
      <c r="H41" s="53"/>
      <c r="I41" s="53"/>
      <c r="J41" s="53"/>
      <c r="K41" s="53"/>
      <c r="L41" s="8"/>
      <c r="M41" s="8"/>
      <c r="N41" s="8"/>
    </row>
    <row r="42" spans="1:27" ht="16" x14ac:dyDescent="0.2">
      <c r="A42" s="54" t="s">
        <v>13</v>
      </c>
      <c r="B42" s="54">
        <v>0.77</v>
      </c>
      <c r="C42" s="53"/>
      <c r="D42" s="53"/>
      <c r="E42" s="58"/>
      <c r="F42" s="56"/>
      <c r="G42" s="56"/>
      <c r="H42" s="53"/>
      <c r="I42" s="53"/>
      <c r="J42" s="53"/>
      <c r="K42" s="53"/>
      <c r="L42" s="8"/>
      <c r="M42" s="8"/>
      <c r="N42" s="8"/>
      <c r="V42" s="2"/>
      <c r="W42" s="2"/>
    </row>
    <row r="43" spans="1:27" ht="16" x14ac:dyDescent="0.2">
      <c r="A43" s="54" t="s">
        <v>14</v>
      </c>
      <c r="B43" s="54">
        <v>1.03</v>
      </c>
      <c r="C43" s="53"/>
      <c r="D43" s="53"/>
      <c r="E43" s="58"/>
      <c r="F43" s="56"/>
      <c r="G43" s="56"/>
      <c r="H43" s="53"/>
      <c r="I43" s="53"/>
      <c r="J43" s="53"/>
      <c r="K43" s="53"/>
      <c r="L43" s="8"/>
      <c r="M43" s="8"/>
      <c r="N43" s="8"/>
    </row>
    <row r="44" spans="1:27" ht="16" x14ac:dyDescent="0.2">
      <c r="A44" s="54" t="s">
        <v>15</v>
      </c>
      <c r="B44" s="54">
        <v>1.08</v>
      </c>
      <c r="C44" s="53"/>
      <c r="D44" s="53"/>
      <c r="E44" s="58"/>
      <c r="F44" s="56"/>
      <c r="G44" s="56"/>
      <c r="H44" s="53"/>
      <c r="I44" s="53"/>
      <c r="J44" s="53"/>
      <c r="K44" s="53"/>
      <c r="L44" s="8"/>
      <c r="M44" s="8"/>
      <c r="N44" s="8"/>
    </row>
    <row r="45" spans="1:27" ht="16" x14ac:dyDescent="0.2">
      <c r="A45" s="54" t="s">
        <v>16</v>
      </c>
      <c r="B45" s="54">
        <v>0.93</v>
      </c>
      <c r="C45" s="53"/>
      <c r="D45" s="53"/>
      <c r="E45" s="58"/>
      <c r="F45" s="56"/>
      <c r="G45" s="56"/>
      <c r="H45" s="53"/>
      <c r="I45" s="53"/>
      <c r="J45" s="53"/>
      <c r="K45" s="53"/>
      <c r="L45" s="8"/>
      <c r="M45" s="8"/>
      <c r="N45" s="8"/>
    </row>
    <row r="46" spans="1:27" ht="16" x14ac:dyDescent="0.2">
      <c r="A46" s="54" t="s">
        <v>17</v>
      </c>
      <c r="B46" s="54">
        <v>1.18</v>
      </c>
      <c r="C46" s="53"/>
      <c r="D46" s="53"/>
      <c r="E46" s="58"/>
      <c r="F46" s="56"/>
      <c r="G46" s="56"/>
      <c r="H46" s="53"/>
      <c r="I46" s="53"/>
      <c r="J46" s="53"/>
      <c r="K46" s="53"/>
      <c r="L46" s="8"/>
      <c r="M46" s="8"/>
      <c r="N46" s="8"/>
    </row>
    <row r="47" spans="1:27" ht="16" x14ac:dyDescent="0.2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8"/>
      <c r="M47" s="8"/>
      <c r="N47" s="8"/>
    </row>
    <row r="48" spans="1:27" ht="16" x14ac:dyDescent="0.2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8"/>
      <c r="M48" s="8"/>
      <c r="N48" s="8"/>
    </row>
    <row r="49" spans="1:25" ht="19" x14ac:dyDescent="0.25">
      <c r="A49" s="136" t="s">
        <v>315</v>
      </c>
      <c r="B49" s="136"/>
      <c r="C49" s="53"/>
      <c r="D49" s="53"/>
      <c r="E49" s="53"/>
      <c r="F49" s="53"/>
      <c r="G49" s="53"/>
      <c r="H49" s="53"/>
      <c r="I49" s="53"/>
      <c r="J49" s="53"/>
      <c r="K49" s="53"/>
      <c r="L49" s="8"/>
      <c r="M49" s="8"/>
      <c r="N49" s="8"/>
    </row>
    <row r="50" spans="1:25" ht="16" x14ac:dyDescent="0.2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8"/>
      <c r="M50" s="8"/>
      <c r="N50" s="8"/>
    </row>
    <row r="51" spans="1:25" ht="19" x14ac:dyDescent="0.25">
      <c r="A51" s="127" t="s">
        <v>287</v>
      </c>
      <c r="B51" s="127"/>
      <c r="C51" s="127"/>
      <c r="D51" s="127"/>
      <c r="E51" s="127"/>
      <c r="F51" s="127"/>
      <c r="G51" s="127"/>
      <c r="H51" s="53"/>
      <c r="I51" s="53"/>
      <c r="J51" s="53"/>
      <c r="K51" s="53"/>
      <c r="L51" s="8"/>
      <c r="M51" s="8"/>
      <c r="N51" s="8"/>
    </row>
    <row r="52" spans="1:25" ht="16" x14ac:dyDescent="0.2">
      <c r="A52" s="57" t="s">
        <v>127</v>
      </c>
      <c r="B52" s="57" t="s">
        <v>0</v>
      </c>
      <c r="C52" s="57" t="s">
        <v>135</v>
      </c>
      <c r="D52" s="57" t="s">
        <v>136</v>
      </c>
      <c r="E52" s="57" t="s">
        <v>137</v>
      </c>
      <c r="F52" s="57" t="s">
        <v>138</v>
      </c>
      <c r="G52" s="57" t="s">
        <v>139</v>
      </c>
      <c r="H52" s="53"/>
      <c r="I52" s="53"/>
      <c r="J52" s="53"/>
      <c r="K52" s="53"/>
      <c r="L52" s="8"/>
      <c r="M52" s="8"/>
      <c r="N52" s="8"/>
    </row>
    <row r="53" spans="1:25" ht="16" x14ac:dyDescent="0.2">
      <c r="A53" s="57" t="s">
        <v>218</v>
      </c>
      <c r="B53" s="57" t="s">
        <v>149</v>
      </c>
      <c r="C53" s="59">
        <f>SUM(B71:B73)</f>
        <v>299.09174400000006</v>
      </c>
      <c r="D53" s="59">
        <f t="shared" ref="D53:F53" si="1">SUM(C71:C73)</f>
        <v>486.02408400000002</v>
      </c>
      <c r="E53" s="59">
        <f t="shared" si="1"/>
        <v>10542.807416528927</v>
      </c>
      <c r="F53" s="59">
        <f t="shared" si="1"/>
        <v>29860.06879613912</v>
      </c>
      <c r="G53" s="59">
        <f>E53+F53</f>
        <v>40402.876212668045</v>
      </c>
      <c r="H53" s="53"/>
      <c r="I53" s="53"/>
      <c r="J53" s="53"/>
      <c r="K53" s="53"/>
      <c r="L53" s="8"/>
      <c r="M53" s="8"/>
      <c r="N53" s="8"/>
    </row>
    <row r="54" spans="1:25" ht="16" x14ac:dyDescent="0.2">
      <c r="A54" s="57" t="s">
        <v>218</v>
      </c>
      <c r="B54" s="57" t="s">
        <v>150</v>
      </c>
      <c r="C54" s="59">
        <f>SUM(B74:B76)</f>
        <v>413.97148800000002</v>
      </c>
      <c r="D54" s="59">
        <f t="shared" ref="D54:F54" si="2">SUM(C74:C76)</f>
        <v>672.70366799999999</v>
      </c>
      <c r="E54" s="59">
        <f t="shared" si="2"/>
        <v>14592.250576859504</v>
      </c>
      <c r="F54" s="59">
        <f t="shared" si="2"/>
        <v>41329.181962709335</v>
      </c>
      <c r="G54" s="59">
        <f t="shared" ref="G54:G64" si="3">E54+F54</f>
        <v>55921.432539568836</v>
      </c>
      <c r="H54" s="53"/>
      <c r="I54" s="53"/>
      <c r="J54" s="53"/>
      <c r="K54" s="53"/>
      <c r="L54" s="8"/>
      <c r="M54" s="8"/>
      <c r="N54" s="8"/>
    </row>
    <row r="55" spans="1:25" ht="16" x14ac:dyDescent="0.2">
      <c r="A55" s="57" t="s">
        <v>218</v>
      </c>
      <c r="B55" s="57" t="s">
        <v>151</v>
      </c>
      <c r="C55" s="59">
        <f>SUM(B77:B79)</f>
        <v>394.66656</v>
      </c>
      <c r="D55" s="59">
        <f t="shared" ref="D55:F55" si="4">SUM(C77:C79)</f>
        <v>641.33316000000002</v>
      </c>
      <c r="E55" s="59">
        <f t="shared" si="4"/>
        <v>13911.763260920896</v>
      </c>
      <c r="F55" s="59">
        <f t="shared" si="4"/>
        <v>39401.858692346803</v>
      </c>
      <c r="G55" s="59">
        <f t="shared" si="3"/>
        <v>53313.621953267699</v>
      </c>
      <c r="H55" s="53"/>
      <c r="I55" s="53"/>
      <c r="J55" s="53"/>
      <c r="K55" s="53"/>
      <c r="L55" s="8"/>
      <c r="M55" s="8"/>
      <c r="N55" s="8"/>
    </row>
    <row r="56" spans="1:25" ht="16" x14ac:dyDescent="0.2">
      <c r="A56" s="57" t="s">
        <v>218</v>
      </c>
      <c r="B56" s="57" t="s">
        <v>152</v>
      </c>
      <c r="C56" s="59">
        <f>SUM(B80:B82)</f>
        <v>536.39107200000012</v>
      </c>
      <c r="D56" s="59">
        <f t="shared" ref="D56:F56" si="5">SUM(C80:C82)</f>
        <v>871.63549200000011</v>
      </c>
      <c r="E56" s="59">
        <f t="shared" si="5"/>
        <v>18907.468646280991</v>
      </c>
      <c r="F56" s="59">
        <f t="shared" si="5"/>
        <v>53551.041220164239</v>
      </c>
      <c r="G56" s="59">
        <f t="shared" si="3"/>
        <v>72458.509866445238</v>
      </c>
      <c r="H56" s="53"/>
      <c r="I56" s="53"/>
      <c r="J56" s="53"/>
      <c r="K56" s="53"/>
      <c r="L56" s="8"/>
      <c r="M56" s="8"/>
      <c r="N56" s="8"/>
    </row>
    <row r="57" spans="1:25" ht="16" x14ac:dyDescent="0.2">
      <c r="A57" s="57" t="s">
        <v>219</v>
      </c>
      <c r="B57" s="57" t="s">
        <v>158</v>
      </c>
      <c r="C57" s="59">
        <f>SUM(B83:B85)</f>
        <v>557.46578160000001</v>
      </c>
      <c r="D57" s="59">
        <f t="shared" ref="D57:F57" si="6">SUM(C83:C85)</f>
        <v>873.13917600000013</v>
      </c>
      <c r="E57" s="59">
        <f t="shared" si="6"/>
        <v>20239.849910450826</v>
      </c>
      <c r="F57" s="59">
        <f t="shared" si="6"/>
        <v>55252.726405803274</v>
      </c>
      <c r="G57" s="59">
        <f t="shared" si="3"/>
        <v>75492.576316254097</v>
      </c>
      <c r="H57" s="53"/>
      <c r="I57" s="53"/>
      <c r="J57" s="53"/>
      <c r="K57" s="53"/>
      <c r="L57" s="8"/>
      <c r="M57" s="8"/>
      <c r="N57" s="8"/>
    </row>
    <row r="58" spans="1:25" ht="16" x14ac:dyDescent="0.2">
      <c r="A58" s="57" t="s">
        <v>219</v>
      </c>
      <c r="B58" s="57" t="s">
        <v>159</v>
      </c>
      <c r="C58" s="59">
        <f>SUM(B86:B88)</f>
        <v>716.39122679999991</v>
      </c>
      <c r="D58" s="59">
        <f t="shared" ref="D58:F58" si="7">SUM(C86:C88)</f>
        <v>1122.058548</v>
      </c>
      <c r="E58" s="59">
        <f t="shared" si="7"/>
        <v>26009.938880875943</v>
      </c>
      <c r="F58" s="59">
        <f t="shared" si="7"/>
        <v>71004.480921306036</v>
      </c>
      <c r="G58" s="59">
        <f t="shared" si="3"/>
        <v>97014.419802181976</v>
      </c>
      <c r="H58" s="53"/>
      <c r="I58" s="53"/>
      <c r="J58" s="53"/>
      <c r="K58" s="53"/>
      <c r="L58" s="8"/>
      <c r="M58" s="8"/>
      <c r="N58" s="8"/>
    </row>
    <row r="59" spans="1:25" ht="16" x14ac:dyDescent="0.2">
      <c r="A59" s="57" t="s">
        <v>219</v>
      </c>
      <c r="B59" s="57" t="s">
        <v>160</v>
      </c>
      <c r="C59" s="59">
        <f>SUM(B89:B91)</f>
        <v>642.77766359999998</v>
      </c>
      <c r="D59" s="59">
        <f t="shared" ref="D59:F59" si="8">SUM(C89:C91)</f>
        <v>1006.760196</v>
      </c>
      <c r="E59" s="59">
        <f t="shared" si="8"/>
        <v>23337.259194124228</v>
      </c>
      <c r="F59" s="59">
        <f t="shared" si="8"/>
        <v>63708.337908595771</v>
      </c>
      <c r="G59" s="59">
        <f t="shared" si="3"/>
        <v>87045.597102719999</v>
      </c>
      <c r="H59" s="53"/>
      <c r="I59" s="53"/>
      <c r="J59" s="53"/>
      <c r="K59" s="53"/>
      <c r="L59" s="8"/>
      <c r="M59" s="8"/>
      <c r="N59" s="8"/>
      <c r="V59" s="2"/>
      <c r="W59" s="2"/>
      <c r="X59" s="2"/>
      <c r="Y59" s="2"/>
    </row>
    <row r="60" spans="1:25" ht="16" x14ac:dyDescent="0.2">
      <c r="A60" s="57" t="s">
        <v>219</v>
      </c>
      <c r="B60" s="57" t="s">
        <v>161</v>
      </c>
      <c r="C60" s="59">
        <f>SUM(B94:B96)</f>
        <v>847.30916520000005</v>
      </c>
      <c r="D60" s="59">
        <f>SUM(C94:C96)</f>
        <v>1288.9276920000002</v>
      </c>
      <c r="E60" s="59">
        <f>SUM(D94:D96)</f>
        <v>31340.692834785201</v>
      </c>
      <c r="F60" s="59">
        <f>SUM(E94:E96)</f>
        <v>83068.164029656007</v>
      </c>
      <c r="G60" s="59">
        <f t="shared" si="3"/>
        <v>114408.85686444122</v>
      </c>
      <c r="H60" s="53"/>
      <c r="I60" s="53"/>
      <c r="J60" s="53"/>
      <c r="K60" s="53"/>
      <c r="L60" s="8"/>
      <c r="M60" s="8"/>
      <c r="N60" s="8"/>
    </row>
    <row r="61" spans="1:25" ht="16" x14ac:dyDescent="0.2">
      <c r="A61" s="57" t="s">
        <v>220</v>
      </c>
      <c r="B61" s="57" t="s">
        <v>162</v>
      </c>
      <c r="C61" s="59">
        <f>SUM(B95:B97)</f>
        <v>843.37431119999997</v>
      </c>
      <c r="D61" s="59">
        <f t="shared" ref="D61:F61" si="9">SUM(C95:C97)</f>
        <v>1260.2144880000001</v>
      </c>
      <c r="E61" s="59">
        <f t="shared" si="9"/>
        <v>31538.90900866799</v>
      </c>
      <c r="F61" s="59">
        <f t="shared" si="9"/>
        <v>82139.476590884587</v>
      </c>
      <c r="G61" s="59">
        <f t="shared" si="3"/>
        <v>113678.38559955258</v>
      </c>
      <c r="H61" s="53"/>
      <c r="I61" s="53"/>
      <c r="J61" s="53"/>
      <c r="K61" s="53"/>
      <c r="L61" s="8"/>
      <c r="M61" s="8"/>
      <c r="N61" s="8"/>
    </row>
    <row r="62" spans="1:25" ht="16" x14ac:dyDescent="0.2">
      <c r="A62" s="57" t="s">
        <v>220</v>
      </c>
      <c r="B62" s="57" t="s">
        <v>163</v>
      </c>
      <c r="C62" s="59">
        <f>SUM(B98:B100)</f>
        <v>1051.03656</v>
      </c>
      <c r="D62" s="59">
        <f t="shared" ref="D62:F62" si="10">SUM(C98:C100)</f>
        <v>1570.5144</v>
      </c>
      <c r="E62" s="59">
        <f t="shared" si="10"/>
        <v>39304.666967455778</v>
      </c>
      <c r="F62" s="59">
        <f t="shared" si="10"/>
        <v>102364.50383868872</v>
      </c>
      <c r="G62" s="59">
        <f t="shared" si="3"/>
        <v>141669.17080614448</v>
      </c>
      <c r="H62" s="53"/>
      <c r="I62" s="53"/>
      <c r="J62" s="53"/>
      <c r="K62" s="53"/>
      <c r="L62" s="8"/>
      <c r="M62" s="8"/>
      <c r="N62" s="8"/>
    </row>
    <row r="63" spans="1:25" ht="16" x14ac:dyDescent="0.2">
      <c r="A63" s="57" t="s">
        <v>220</v>
      </c>
      <c r="B63" s="57" t="s">
        <v>164</v>
      </c>
      <c r="C63" s="59">
        <f>SUM(B101:B103)</f>
        <v>918.64002960000005</v>
      </c>
      <c r="D63" s="59">
        <f t="shared" ref="D63:F63" si="11">SUM(C101:C103)</f>
        <v>1372.6805039999999</v>
      </c>
      <c r="E63" s="59">
        <f t="shared" si="11"/>
        <v>34353.553245000083</v>
      </c>
      <c r="F63" s="59">
        <f t="shared" si="11"/>
        <v>89469.895163649038</v>
      </c>
      <c r="G63" s="59">
        <f t="shared" si="3"/>
        <v>123823.44840864913</v>
      </c>
      <c r="H63" s="53"/>
      <c r="I63" s="53"/>
      <c r="J63" s="53"/>
      <c r="K63" s="53"/>
      <c r="L63" s="8"/>
      <c r="M63" s="8"/>
      <c r="N63" s="8"/>
    </row>
    <row r="64" spans="1:25" ht="16" x14ac:dyDescent="0.2">
      <c r="A64" s="57" t="s">
        <v>220</v>
      </c>
      <c r="B64" s="57" t="s">
        <v>165</v>
      </c>
      <c r="C64" s="59">
        <f>SUM(B104:B106)</f>
        <v>1165.3301303999999</v>
      </c>
      <c r="D64" s="59">
        <f t="shared" ref="D64:F64" si="12">SUM(C104:C106)</f>
        <v>1741.297896</v>
      </c>
      <c r="E64" s="59">
        <f t="shared" si="12"/>
        <v>43578.800610431492</v>
      </c>
      <c r="F64" s="59">
        <f t="shared" si="12"/>
        <v>113495.99542633457</v>
      </c>
      <c r="G64" s="59">
        <f t="shared" si="3"/>
        <v>157074.79603676606</v>
      </c>
      <c r="H64" s="53"/>
      <c r="I64" s="53"/>
      <c r="J64" s="53"/>
      <c r="K64" s="53"/>
      <c r="L64" s="8"/>
      <c r="M64" s="8"/>
      <c r="N64" s="8"/>
    </row>
    <row r="65" spans="1:14" ht="16" x14ac:dyDescent="0.2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8"/>
      <c r="M65" s="8"/>
      <c r="N65" s="8"/>
    </row>
    <row r="66" spans="1:14" ht="16" x14ac:dyDescent="0.2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8"/>
      <c r="M66" s="8"/>
      <c r="N66" s="8"/>
    </row>
    <row r="67" spans="1:14" ht="19" x14ac:dyDescent="0.25">
      <c r="A67" s="136" t="s">
        <v>316</v>
      </c>
      <c r="B67" s="136"/>
      <c r="C67" s="53"/>
      <c r="D67" s="53"/>
      <c r="E67" s="53"/>
      <c r="F67" s="53"/>
      <c r="G67" s="53"/>
      <c r="H67" s="53"/>
      <c r="I67" s="53"/>
      <c r="J67" s="53"/>
      <c r="K67" s="53"/>
      <c r="L67" s="8"/>
      <c r="M67" s="8"/>
      <c r="N67" s="8"/>
    </row>
    <row r="68" spans="1:14" ht="16" x14ac:dyDescent="0.2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8"/>
      <c r="M68" s="8"/>
      <c r="N68" s="8"/>
    </row>
    <row r="69" spans="1:14" ht="19" x14ac:dyDescent="0.25">
      <c r="A69" s="126" t="s">
        <v>286</v>
      </c>
      <c r="B69" s="127"/>
      <c r="C69" s="127"/>
      <c r="D69" s="127"/>
      <c r="E69" s="127"/>
      <c r="F69" s="127"/>
      <c r="G69" s="53"/>
      <c r="H69" s="53"/>
      <c r="I69" s="53"/>
      <c r="J69" s="53"/>
      <c r="K69" s="53"/>
      <c r="L69" s="8"/>
      <c r="M69" s="8"/>
      <c r="N69" s="8"/>
    </row>
    <row r="70" spans="1:14" ht="19" x14ac:dyDescent="0.25">
      <c r="A70" s="11" t="s">
        <v>4</v>
      </c>
      <c r="B70" s="57" t="s">
        <v>135</v>
      </c>
      <c r="C70" s="57" t="s">
        <v>136</v>
      </c>
      <c r="D70" s="57" t="s">
        <v>137</v>
      </c>
      <c r="E70" s="57" t="s">
        <v>138</v>
      </c>
      <c r="F70" s="57" t="s">
        <v>139</v>
      </c>
      <c r="G70" s="53"/>
      <c r="H70" s="53"/>
      <c r="I70" s="127" t="s">
        <v>1</v>
      </c>
      <c r="J70" s="127"/>
      <c r="K70" s="127"/>
      <c r="L70" s="127"/>
      <c r="M70" s="8"/>
      <c r="N70" s="8"/>
    </row>
    <row r="71" spans="1:14" ht="16" x14ac:dyDescent="0.2">
      <c r="A71" s="54" t="s">
        <v>226</v>
      </c>
      <c r="B71" s="54">
        <f>$B$14*J72*B35</f>
        <v>86.169600000000017</v>
      </c>
      <c r="C71" s="54">
        <f t="shared" ref="C71:C82" si="13">$B$14*$B$6*K72*B35</f>
        <v>140.0256</v>
      </c>
      <c r="D71" s="54">
        <f>B71*$B$7</f>
        <v>3037.4275324675327</v>
      </c>
      <c r="E71" s="54">
        <f>C71*$B$8</f>
        <v>8602.8124672534905</v>
      </c>
      <c r="F71" s="54">
        <f>D71+E71</f>
        <v>11640.239999721023</v>
      </c>
      <c r="G71" s="53"/>
      <c r="H71" s="53"/>
      <c r="I71" s="57" t="s">
        <v>4</v>
      </c>
      <c r="J71" s="57" t="s">
        <v>153</v>
      </c>
      <c r="K71" s="57" t="s">
        <v>148</v>
      </c>
      <c r="L71" s="10" t="s">
        <v>134</v>
      </c>
      <c r="M71" s="8"/>
      <c r="N71" s="8"/>
    </row>
    <row r="72" spans="1:14" ht="16" x14ac:dyDescent="0.2">
      <c r="A72" s="54" t="s">
        <v>228</v>
      </c>
      <c r="B72" s="54">
        <f t="shared" ref="B72:B82" si="14">$B$14*J73*B36</f>
        <v>97.440192000000025</v>
      </c>
      <c r="C72" s="54">
        <f t="shared" si="13"/>
        <v>158.34031200000001</v>
      </c>
      <c r="D72" s="54">
        <f t="shared" ref="D72:D82" si="15">B72*$B$7</f>
        <v>3434.7092472255022</v>
      </c>
      <c r="E72" s="54">
        <f t="shared" ref="E72:E82" si="16">C72*$B$8</f>
        <v>9728.0212342772138</v>
      </c>
      <c r="F72" s="54">
        <f t="shared" ref="F72:F106" si="17">D72+E72</f>
        <v>13162.730481502716</v>
      </c>
      <c r="G72" s="53"/>
      <c r="H72" s="53"/>
      <c r="I72" s="11" t="s">
        <v>226</v>
      </c>
      <c r="J72" s="5">
        <f>K72*L72</f>
        <v>0.16000000000000003</v>
      </c>
      <c r="K72" s="5">
        <v>0.2</v>
      </c>
      <c r="L72" s="5">
        <v>0.8</v>
      </c>
      <c r="M72" s="8"/>
    </row>
    <row r="73" spans="1:14" ht="16" x14ac:dyDescent="0.2">
      <c r="A73" s="54" t="s">
        <v>229</v>
      </c>
      <c r="B73" s="54">
        <f t="shared" si="14"/>
        <v>115.48195200000002</v>
      </c>
      <c r="C73" s="54">
        <f t="shared" si="13"/>
        <v>187.65817200000004</v>
      </c>
      <c r="D73" s="54">
        <f t="shared" si="15"/>
        <v>4070.6706368358919</v>
      </c>
      <c r="E73" s="54">
        <f t="shared" si="16"/>
        <v>11529.235094608415</v>
      </c>
      <c r="F73" s="54">
        <f t="shared" si="17"/>
        <v>15599.905731444307</v>
      </c>
      <c r="G73" s="53"/>
      <c r="H73" s="53"/>
      <c r="I73" s="11" t="s">
        <v>228</v>
      </c>
      <c r="J73" s="5">
        <f t="shared" ref="J73:J107" si="18">K73*L73</f>
        <v>0.17120000000000002</v>
      </c>
      <c r="K73" s="5">
        <v>0.214</v>
      </c>
      <c r="L73" s="5">
        <v>0.8</v>
      </c>
      <c r="M73" s="8"/>
    </row>
    <row r="74" spans="1:14" ht="16" x14ac:dyDescent="0.2">
      <c r="A74" s="54" t="s">
        <v>230</v>
      </c>
      <c r="B74" s="54">
        <f t="shared" si="14"/>
        <v>128.49062400000003</v>
      </c>
      <c r="C74" s="54">
        <f t="shared" si="13"/>
        <v>208.79726400000001</v>
      </c>
      <c r="D74" s="54">
        <f t="shared" si="15"/>
        <v>4529.2186455726096</v>
      </c>
      <c r="E74" s="54">
        <f t="shared" si="16"/>
        <v>12827.966499465943</v>
      </c>
      <c r="F74" s="54">
        <f t="shared" si="17"/>
        <v>17357.185145038551</v>
      </c>
      <c r="G74" s="53"/>
      <c r="H74" s="53"/>
      <c r="I74" s="11" t="s">
        <v>229</v>
      </c>
      <c r="J74" s="5">
        <f t="shared" si="18"/>
        <v>0.18320000000000003</v>
      </c>
      <c r="K74" s="5">
        <v>0.22900000000000001</v>
      </c>
      <c r="L74" s="5">
        <v>0.8</v>
      </c>
      <c r="M74" s="8"/>
    </row>
    <row r="75" spans="1:14" ht="16" x14ac:dyDescent="0.2">
      <c r="A75" s="54" t="s">
        <v>231</v>
      </c>
      <c r="B75" s="54">
        <f t="shared" si="14"/>
        <v>142.18473599999999</v>
      </c>
      <c r="C75" s="54">
        <f t="shared" si="13"/>
        <v>231.05019599999997</v>
      </c>
      <c r="D75" s="54">
        <f t="shared" si="15"/>
        <v>5011.9280096812272</v>
      </c>
      <c r="E75" s="54">
        <f t="shared" si="16"/>
        <v>14195.129367131169</v>
      </c>
      <c r="F75" s="54">
        <f t="shared" si="17"/>
        <v>19207.057376812394</v>
      </c>
      <c r="G75" s="53"/>
      <c r="H75" s="53"/>
      <c r="I75" s="11" t="s">
        <v>230</v>
      </c>
      <c r="J75" s="5">
        <f t="shared" si="18"/>
        <v>0.19440000000000002</v>
      </c>
      <c r="K75" s="5">
        <v>0.24299999999999999</v>
      </c>
      <c r="L75" s="5">
        <v>0.8</v>
      </c>
      <c r="M75" s="8"/>
    </row>
    <row r="76" spans="1:14" ht="16" x14ac:dyDescent="0.2">
      <c r="A76" s="54" t="s">
        <v>232</v>
      </c>
      <c r="B76" s="54">
        <f t="shared" si="14"/>
        <v>143.29612800000001</v>
      </c>
      <c r="C76" s="54">
        <f t="shared" si="13"/>
        <v>232.85620800000004</v>
      </c>
      <c r="D76" s="54">
        <f t="shared" si="15"/>
        <v>5051.103921605667</v>
      </c>
      <c r="E76" s="54">
        <f t="shared" si="16"/>
        <v>14306.086096112225</v>
      </c>
      <c r="F76" s="54">
        <f t="shared" si="17"/>
        <v>19357.19001771789</v>
      </c>
      <c r="G76" s="53"/>
      <c r="H76" s="53"/>
      <c r="I76" s="11" t="s">
        <v>231</v>
      </c>
      <c r="J76" s="5">
        <f t="shared" si="18"/>
        <v>0.2056</v>
      </c>
      <c r="K76" s="5">
        <v>0.25700000000000001</v>
      </c>
      <c r="L76" s="5">
        <v>0.8</v>
      </c>
      <c r="M76" s="8"/>
    </row>
    <row r="77" spans="1:14" ht="16" x14ac:dyDescent="0.2">
      <c r="A77" s="54" t="s">
        <v>233</v>
      </c>
      <c r="B77" s="54">
        <f t="shared" si="14"/>
        <v>123.222528</v>
      </c>
      <c r="C77" s="54">
        <f t="shared" si="13"/>
        <v>200.23660799999999</v>
      </c>
      <c r="D77" s="54">
        <f t="shared" si="15"/>
        <v>4343.521371428571</v>
      </c>
      <c r="E77" s="54">
        <f t="shared" si="16"/>
        <v>12302.02182817249</v>
      </c>
      <c r="F77" s="54">
        <f t="shared" si="17"/>
        <v>16645.543199601059</v>
      </c>
      <c r="G77" s="53"/>
      <c r="H77" s="53"/>
      <c r="I77" s="11" t="s">
        <v>232</v>
      </c>
      <c r="J77" s="5">
        <f t="shared" si="18"/>
        <v>0.21680000000000002</v>
      </c>
      <c r="K77" s="5">
        <v>0.27100000000000002</v>
      </c>
      <c r="L77" s="5">
        <v>0.8</v>
      </c>
      <c r="M77" s="8"/>
    </row>
    <row r="78" spans="1:14" ht="16" x14ac:dyDescent="0.2">
      <c r="A78" s="54" t="s">
        <v>234</v>
      </c>
      <c r="B78" s="54">
        <f t="shared" si="14"/>
        <v>113.0976</v>
      </c>
      <c r="C78" s="54">
        <f t="shared" si="13"/>
        <v>183.78360000000001</v>
      </c>
      <c r="D78" s="54">
        <f t="shared" si="15"/>
        <v>3986.6236363636358</v>
      </c>
      <c r="E78" s="54">
        <f t="shared" si="16"/>
        <v>11291.191363270205</v>
      </c>
      <c r="F78" s="54">
        <f t="shared" si="17"/>
        <v>15277.814999633842</v>
      </c>
      <c r="G78" s="53"/>
      <c r="H78" s="53"/>
      <c r="I78" s="11" t="s">
        <v>233</v>
      </c>
      <c r="J78" s="5">
        <f t="shared" si="18"/>
        <v>0.2288</v>
      </c>
      <c r="K78" s="5">
        <v>0.28599999999999998</v>
      </c>
      <c r="L78" s="5">
        <v>0.8</v>
      </c>
      <c r="M78" s="8"/>
    </row>
    <row r="79" spans="1:14" ht="16" x14ac:dyDescent="0.2">
      <c r="A79" s="54" t="s">
        <v>235</v>
      </c>
      <c r="B79" s="54">
        <f t="shared" si="14"/>
        <v>158.34643200000002</v>
      </c>
      <c r="C79" s="54">
        <f t="shared" si="13"/>
        <v>257.312952</v>
      </c>
      <c r="D79" s="54">
        <f t="shared" si="15"/>
        <v>5581.6182531286895</v>
      </c>
      <c r="E79" s="54">
        <f t="shared" si="16"/>
        <v>15808.645500904111</v>
      </c>
      <c r="F79" s="54">
        <f t="shared" si="17"/>
        <v>21390.2637540328</v>
      </c>
      <c r="G79" s="53"/>
      <c r="H79" s="53"/>
      <c r="I79" s="11" t="s">
        <v>234</v>
      </c>
      <c r="J79" s="5">
        <f t="shared" si="18"/>
        <v>0.24</v>
      </c>
      <c r="K79" s="5">
        <v>0.3</v>
      </c>
      <c r="L79" s="5">
        <v>0.8</v>
      </c>
      <c r="M79" s="8"/>
    </row>
    <row r="80" spans="1:14" ht="16" x14ac:dyDescent="0.2">
      <c r="A80" s="54" t="s">
        <v>236</v>
      </c>
      <c r="B80" s="54">
        <f t="shared" si="14"/>
        <v>173.96467200000004</v>
      </c>
      <c r="C80" s="54">
        <f t="shared" si="13"/>
        <v>282.69259200000005</v>
      </c>
      <c r="D80" s="54">
        <f t="shared" si="15"/>
        <v>6132.1519933884301</v>
      </c>
      <c r="E80" s="54">
        <f t="shared" si="16"/>
        <v>17367.905260593809</v>
      </c>
      <c r="F80" s="54">
        <f t="shared" si="17"/>
        <v>23500.057253982239</v>
      </c>
      <c r="G80" s="53"/>
      <c r="H80" s="53"/>
      <c r="I80" s="11" t="s">
        <v>235</v>
      </c>
      <c r="J80" s="5">
        <f t="shared" si="18"/>
        <v>0.25120000000000003</v>
      </c>
      <c r="K80" s="5">
        <v>0.314</v>
      </c>
      <c r="L80" s="5">
        <v>0.8</v>
      </c>
      <c r="M80" s="8"/>
    </row>
    <row r="81" spans="1:13" ht="16" x14ac:dyDescent="0.2">
      <c r="A81" s="54" t="s">
        <v>237</v>
      </c>
      <c r="B81" s="54">
        <f t="shared" si="14"/>
        <v>156.17750400000003</v>
      </c>
      <c r="C81" s="54">
        <f t="shared" si="13"/>
        <v>253.78844400000003</v>
      </c>
      <c r="D81" s="54">
        <f t="shared" si="15"/>
        <v>5505.1648214876041</v>
      </c>
      <c r="E81" s="54">
        <f t="shared" si="16"/>
        <v>15592.10880073404</v>
      </c>
      <c r="F81" s="54">
        <f t="shared" si="17"/>
        <v>21097.273622221644</v>
      </c>
      <c r="G81" s="53"/>
      <c r="H81" s="53"/>
      <c r="I81" s="11" t="s">
        <v>236</v>
      </c>
      <c r="J81" s="5">
        <f t="shared" si="18"/>
        <v>0.26320000000000005</v>
      </c>
      <c r="K81" s="5">
        <v>0.32900000000000001</v>
      </c>
      <c r="L81" s="5">
        <v>0.8</v>
      </c>
      <c r="M81" s="8"/>
    </row>
    <row r="82" spans="1:13" ht="16" x14ac:dyDescent="0.2">
      <c r="A82" s="54" t="s">
        <v>238</v>
      </c>
      <c r="B82" s="54">
        <f t="shared" si="14"/>
        <v>206.248896</v>
      </c>
      <c r="C82" s="54">
        <f t="shared" si="13"/>
        <v>335.15445599999998</v>
      </c>
      <c r="D82" s="54">
        <f t="shared" si="15"/>
        <v>7270.1518314049581</v>
      </c>
      <c r="E82" s="54">
        <f t="shared" si="16"/>
        <v>20591.02715883639</v>
      </c>
      <c r="F82" s="54">
        <f t="shared" si="17"/>
        <v>27861.178990241347</v>
      </c>
      <c r="G82" s="53"/>
      <c r="H82" s="53"/>
      <c r="I82" s="11" t="s">
        <v>237</v>
      </c>
      <c r="J82" s="5">
        <f t="shared" si="18"/>
        <v>0.27440000000000003</v>
      </c>
      <c r="K82" s="5">
        <v>0.34300000000000003</v>
      </c>
      <c r="L82" s="5">
        <v>0.8</v>
      </c>
      <c r="M82" s="8"/>
    </row>
    <row r="83" spans="1:13" ht="16" x14ac:dyDescent="0.2">
      <c r="A83" s="54" t="s">
        <v>239</v>
      </c>
      <c r="B83" s="54">
        <f t="shared" ref="B83:B93" si="19">$B$14*J84*B35</f>
        <v>165.83878079999999</v>
      </c>
      <c r="C83" s="54">
        <f t="shared" ref="C83:C94" si="20">$B$14*$B$6*K84*B35</f>
        <v>259.74748799999998</v>
      </c>
      <c r="D83" s="54">
        <f>B83*$B$9</f>
        <v>6021.0906992181817</v>
      </c>
      <c r="E83" s="54">
        <f>C83*$B$10</f>
        <v>16436.963640557879</v>
      </c>
      <c r="F83" s="54">
        <f t="shared" si="17"/>
        <v>22458.054339776059</v>
      </c>
      <c r="G83" s="53"/>
      <c r="H83" s="53"/>
      <c r="I83" s="11" t="s">
        <v>238</v>
      </c>
      <c r="J83" s="5">
        <f t="shared" si="18"/>
        <v>0.28560000000000002</v>
      </c>
      <c r="K83" s="5">
        <v>0.35699999999999998</v>
      </c>
      <c r="L83" s="5">
        <v>0.8</v>
      </c>
      <c r="M83" s="8"/>
    </row>
    <row r="84" spans="1:13" ht="16" x14ac:dyDescent="0.2">
      <c r="A84" s="54" t="s">
        <v>240</v>
      </c>
      <c r="B84" s="54">
        <f t="shared" si="19"/>
        <v>182.34748080000003</v>
      </c>
      <c r="C84" s="54">
        <f t="shared" si="20"/>
        <v>285.60448800000006</v>
      </c>
      <c r="D84" s="54">
        <f t="shared" ref="D84:D94" si="21">B84*$B$9</f>
        <v>6620.4702867108035</v>
      </c>
      <c r="E84" s="54">
        <f t="shared" ref="E84:E94" si="22">C84*$B$10</f>
        <v>18073.208795906241</v>
      </c>
      <c r="F84" s="54">
        <f t="shared" si="17"/>
        <v>24693.679082617044</v>
      </c>
      <c r="G84" s="53"/>
      <c r="H84" s="53"/>
      <c r="I84" s="11" t="s">
        <v>239</v>
      </c>
      <c r="J84" s="5">
        <f t="shared" si="18"/>
        <v>0.30792999999999998</v>
      </c>
      <c r="K84" s="5">
        <v>0.371</v>
      </c>
      <c r="L84" s="5">
        <v>0.83</v>
      </c>
      <c r="M84" s="8"/>
    </row>
    <row r="85" spans="1:13" ht="16" x14ac:dyDescent="0.2">
      <c r="A85" s="54" t="s">
        <v>241</v>
      </c>
      <c r="B85" s="54">
        <f t="shared" si="19"/>
        <v>209.27951999999999</v>
      </c>
      <c r="C85" s="54">
        <f t="shared" si="20"/>
        <v>327.78720000000004</v>
      </c>
      <c r="D85" s="54">
        <f t="shared" si="21"/>
        <v>7598.2889245218412</v>
      </c>
      <c r="E85" s="54">
        <f t="shared" si="22"/>
        <v>20742.553969339155</v>
      </c>
      <c r="F85" s="54">
        <f t="shared" si="17"/>
        <v>28340.842893860994</v>
      </c>
      <c r="G85" s="53"/>
      <c r="H85" s="53"/>
      <c r="I85" s="11" t="s">
        <v>240</v>
      </c>
      <c r="J85" s="5">
        <f t="shared" si="18"/>
        <v>0.32038</v>
      </c>
      <c r="K85" s="5">
        <v>0.38600000000000001</v>
      </c>
      <c r="L85" s="5">
        <v>0.83</v>
      </c>
      <c r="M85" s="8"/>
    </row>
    <row r="86" spans="1:13" ht="16" x14ac:dyDescent="0.2">
      <c r="A86" s="54" t="s">
        <v>242</v>
      </c>
      <c r="B86" s="54">
        <f t="shared" si="19"/>
        <v>227.1190752</v>
      </c>
      <c r="C86" s="54">
        <f t="shared" si="20"/>
        <v>355.72867200000002</v>
      </c>
      <c r="D86" s="54">
        <f t="shared" si="21"/>
        <v>8245.9877279907905</v>
      </c>
      <c r="E86" s="54">
        <f t="shared" si="22"/>
        <v>22510.705657210976</v>
      </c>
      <c r="F86" s="54">
        <f t="shared" si="17"/>
        <v>30756.693385201768</v>
      </c>
      <c r="G86" s="53"/>
      <c r="H86" s="53"/>
      <c r="I86" s="11" t="s">
        <v>241</v>
      </c>
      <c r="J86" s="5">
        <f t="shared" si="18"/>
        <v>0.33200000000000002</v>
      </c>
      <c r="K86" s="5">
        <v>0.4</v>
      </c>
      <c r="L86" s="5">
        <v>0.83</v>
      </c>
      <c r="M86" s="8"/>
    </row>
    <row r="87" spans="1:13" ht="16" x14ac:dyDescent="0.2">
      <c r="A87" s="54" t="s">
        <v>243</v>
      </c>
      <c r="B87" s="54">
        <f t="shared" si="19"/>
        <v>246.24376919999997</v>
      </c>
      <c r="C87" s="54">
        <f t="shared" si="20"/>
        <v>385.68301200000002</v>
      </c>
      <c r="D87" s="54">
        <f t="shared" si="21"/>
        <v>8940.3459270399344</v>
      </c>
      <c r="E87" s="54">
        <f t="shared" si="22"/>
        <v>24406.232737176073</v>
      </c>
      <c r="F87" s="54">
        <f t="shared" si="17"/>
        <v>33346.578664216009</v>
      </c>
      <c r="G87" s="53"/>
      <c r="H87" s="53"/>
      <c r="I87" s="11" t="s">
        <v>242</v>
      </c>
      <c r="J87" s="5">
        <f t="shared" si="18"/>
        <v>0.34361999999999998</v>
      </c>
      <c r="K87" s="5">
        <v>0.41399999999999998</v>
      </c>
      <c r="L87" s="5">
        <v>0.83</v>
      </c>
      <c r="M87" s="8"/>
    </row>
    <row r="88" spans="1:13" ht="16" x14ac:dyDescent="0.2">
      <c r="A88" s="54" t="s">
        <v>244</v>
      </c>
      <c r="B88" s="54">
        <f t="shared" si="19"/>
        <v>243.0283824</v>
      </c>
      <c r="C88" s="54">
        <f t="shared" si="20"/>
        <v>380.64686400000005</v>
      </c>
      <c r="D88" s="54">
        <f t="shared" si="21"/>
        <v>8823.6052258452182</v>
      </c>
      <c r="E88" s="54">
        <f t="shared" si="22"/>
        <v>24087.542526918995</v>
      </c>
      <c r="F88" s="54">
        <f t="shared" si="17"/>
        <v>32911.147752764213</v>
      </c>
      <c r="G88" s="53"/>
      <c r="H88" s="53"/>
      <c r="I88" s="11" t="s">
        <v>243</v>
      </c>
      <c r="J88" s="5">
        <f t="shared" si="18"/>
        <v>0.35607</v>
      </c>
      <c r="K88" s="5">
        <v>0.42899999999999999</v>
      </c>
      <c r="L88" s="5">
        <v>0.83</v>
      </c>
      <c r="M88" s="8"/>
    </row>
    <row r="89" spans="1:13" ht="16" x14ac:dyDescent="0.2">
      <c r="A89" s="54" t="s">
        <v>245</v>
      </c>
      <c r="B89" s="54">
        <f t="shared" si="19"/>
        <v>204.28119359999999</v>
      </c>
      <c r="C89" s="54">
        <f t="shared" si="20"/>
        <v>319.95849600000003</v>
      </c>
      <c r="D89" s="54">
        <f t="shared" si="21"/>
        <v>7416.8152278779216</v>
      </c>
      <c r="E89" s="54">
        <f t="shared" si="22"/>
        <v>20247.149282304454</v>
      </c>
      <c r="F89" s="54">
        <f t="shared" si="17"/>
        <v>27663.964510182377</v>
      </c>
      <c r="G89" s="53"/>
      <c r="H89" s="53"/>
      <c r="I89" s="11" t="s">
        <v>244</v>
      </c>
      <c r="J89" s="5">
        <f t="shared" si="18"/>
        <v>0.36768999999999996</v>
      </c>
      <c r="K89" s="5">
        <v>0.443</v>
      </c>
      <c r="L89" s="5">
        <v>0.83</v>
      </c>
      <c r="M89" s="8"/>
    </row>
    <row r="90" spans="1:13" ht="16" x14ac:dyDescent="0.2">
      <c r="A90" s="54" t="s">
        <v>246</v>
      </c>
      <c r="B90" s="54">
        <f t="shared" si="19"/>
        <v>184.22185319999997</v>
      </c>
      <c r="C90" s="54">
        <f t="shared" si="20"/>
        <v>288.54025200000001</v>
      </c>
      <c r="D90" s="54">
        <f t="shared" si="21"/>
        <v>6688.5229229522711</v>
      </c>
      <c r="E90" s="54">
        <f t="shared" si="22"/>
        <v>18258.985553544251</v>
      </c>
      <c r="F90" s="54">
        <f t="shared" si="17"/>
        <v>24947.508476496521</v>
      </c>
      <c r="G90" s="53"/>
      <c r="H90" s="53"/>
      <c r="I90" s="11" t="s">
        <v>245</v>
      </c>
      <c r="J90" s="5">
        <f t="shared" si="18"/>
        <v>0.37930999999999998</v>
      </c>
      <c r="K90" s="5">
        <v>0.45700000000000002</v>
      </c>
      <c r="L90" s="5">
        <v>0.83</v>
      </c>
      <c r="M90" s="8"/>
    </row>
    <row r="91" spans="1:13" ht="16" x14ac:dyDescent="0.2">
      <c r="A91" s="54" t="s">
        <v>247</v>
      </c>
      <c r="B91" s="54">
        <f t="shared" si="19"/>
        <v>254.27461679999999</v>
      </c>
      <c r="C91" s="54">
        <f t="shared" si="20"/>
        <v>398.26144800000003</v>
      </c>
      <c r="D91" s="54">
        <f t="shared" si="21"/>
        <v>9231.9210432940363</v>
      </c>
      <c r="E91" s="54">
        <f t="shared" si="22"/>
        <v>25202.203072747074</v>
      </c>
      <c r="F91" s="54">
        <f t="shared" si="17"/>
        <v>34434.124116041108</v>
      </c>
      <c r="G91" s="53"/>
      <c r="H91" s="53"/>
      <c r="I91" s="11" t="s">
        <v>246</v>
      </c>
      <c r="J91" s="5">
        <f t="shared" si="18"/>
        <v>0.39092999999999994</v>
      </c>
      <c r="K91" s="5">
        <v>0.47099999999999997</v>
      </c>
      <c r="L91" s="5">
        <v>0.83</v>
      </c>
      <c r="M91" s="8"/>
    </row>
    <row r="92" spans="1:13" ht="16" x14ac:dyDescent="0.2">
      <c r="A92" s="54" t="s">
        <v>248</v>
      </c>
      <c r="B92" s="54">
        <f t="shared" si="19"/>
        <v>274.29840000000002</v>
      </c>
      <c r="C92" s="54">
        <f t="shared" si="20"/>
        <v>429.62400000000002</v>
      </c>
      <c r="D92" s="54">
        <f t="shared" si="21"/>
        <v>9958.9223768004722</v>
      </c>
      <c r="E92" s="54">
        <f t="shared" si="22"/>
        <v>27186.842581172677</v>
      </c>
      <c r="F92" s="54">
        <f t="shared" si="17"/>
        <v>37145.764957973151</v>
      </c>
      <c r="G92" s="53"/>
      <c r="H92" s="53"/>
      <c r="I92" s="11" t="s">
        <v>247</v>
      </c>
      <c r="J92" s="5">
        <f t="shared" si="18"/>
        <v>0.40337999999999996</v>
      </c>
      <c r="K92" s="5">
        <v>0.48599999999999999</v>
      </c>
      <c r="L92" s="5">
        <v>0.83</v>
      </c>
      <c r="M92" s="8"/>
    </row>
    <row r="93" spans="1:13" ht="16" x14ac:dyDescent="0.2">
      <c r="A93" s="54" t="s">
        <v>249</v>
      </c>
      <c r="B93" s="54">
        <f t="shared" si="19"/>
        <v>242.8150392</v>
      </c>
      <c r="C93" s="54">
        <f t="shared" si="20"/>
        <v>380.31271200000003</v>
      </c>
      <c r="D93" s="54">
        <f t="shared" si="21"/>
        <v>8815.8593973299285</v>
      </c>
      <c r="E93" s="54">
        <f t="shared" si="22"/>
        <v>24066.397204911413</v>
      </c>
      <c r="F93" s="54">
        <f t="shared" si="17"/>
        <v>32882.256602241338</v>
      </c>
      <c r="G93" s="53"/>
      <c r="H93" s="53"/>
      <c r="I93" s="11" t="s">
        <v>248</v>
      </c>
      <c r="J93" s="5">
        <f t="shared" si="18"/>
        <v>0.41499999999999998</v>
      </c>
      <c r="K93" s="5">
        <v>0.5</v>
      </c>
      <c r="L93" s="5">
        <v>0.83</v>
      </c>
      <c r="M93" s="8"/>
    </row>
    <row r="94" spans="1:13" ht="16" x14ac:dyDescent="0.2">
      <c r="A94" s="54" t="s">
        <v>250</v>
      </c>
      <c r="B94" s="54">
        <f>$B$14*J95*B46</f>
        <v>317.07879120000001</v>
      </c>
      <c r="C94" s="54">
        <f t="shared" si="20"/>
        <v>496.62943200000001</v>
      </c>
      <c r="D94" s="54">
        <f t="shared" si="21"/>
        <v>11512.145418604427</v>
      </c>
      <c r="E94" s="54">
        <f t="shared" si="22"/>
        <v>31426.983103740014</v>
      </c>
      <c r="F94" s="54">
        <f t="shared" si="17"/>
        <v>42939.128522344443</v>
      </c>
      <c r="G94" s="53"/>
      <c r="H94" s="53"/>
      <c r="I94" s="11" t="s">
        <v>249</v>
      </c>
      <c r="J94" s="5">
        <f t="shared" si="18"/>
        <v>0.42662</v>
      </c>
      <c r="K94" s="5">
        <v>0.51400000000000001</v>
      </c>
      <c r="L94" s="5">
        <v>0.83</v>
      </c>
      <c r="M94" s="8"/>
    </row>
    <row r="95" spans="1:13" ht="16" x14ac:dyDescent="0.2">
      <c r="A95" s="54" t="s">
        <v>251</v>
      </c>
      <c r="B95" s="54">
        <f t="shared" ref="B95:B106" si="23">$B$14*J96*B35</f>
        <v>254.42112960000003</v>
      </c>
      <c r="C95" s="54">
        <f t="shared" ref="C95:C106" si="24">$B$14*$B$6*K96*B35</f>
        <v>380.16950400000002</v>
      </c>
      <c r="D95" s="54">
        <f>B95*$B$11</f>
        <v>9514.3576817269877</v>
      </c>
      <c r="E95" s="54">
        <f>C95*$B$12</f>
        <v>24779.054971772552</v>
      </c>
      <c r="F95" s="54">
        <f t="shared" si="17"/>
        <v>34293.412653499538</v>
      </c>
      <c r="G95" s="53"/>
      <c r="H95" s="53"/>
      <c r="I95" s="11" t="s">
        <v>250</v>
      </c>
      <c r="J95" s="5">
        <f t="shared" si="18"/>
        <v>0.43907000000000002</v>
      </c>
      <c r="K95" s="5">
        <v>0.52900000000000003</v>
      </c>
      <c r="L95" s="5">
        <v>0.83</v>
      </c>
      <c r="M95" s="8"/>
    </row>
    <row r="96" spans="1:13" ht="16" x14ac:dyDescent="0.2">
      <c r="A96" s="54" t="s">
        <v>252</v>
      </c>
      <c r="B96" s="54">
        <f t="shared" si="23"/>
        <v>275.80924440000001</v>
      </c>
      <c r="C96" s="54">
        <f t="shared" si="24"/>
        <v>412.12875600000007</v>
      </c>
      <c r="D96" s="54">
        <f t="shared" ref="D96:D106" si="25">B96*$B$11</f>
        <v>10314.189734453785</v>
      </c>
      <c r="E96" s="54">
        <f t="shared" ref="E96:E106" si="26">C96*$B$12</f>
        <v>26862.125954143441</v>
      </c>
      <c r="F96" s="54">
        <f t="shared" si="17"/>
        <v>37176.315688597228</v>
      </c>
      <c r="G96" s="53"/>
      <c r="H96" s="53"/>
      <c r="I96" s="11" t="s">
        <v>251</v>
      </c>
      <c r="J96" s="5">
        <f t="shared" si="18"/>
        <v>0.47241000000000005</v>
      </c>
      <c r="K96" s="5">
        <v>0.54300000000000004</v>
      </c>
      <c r="L96" s="5">
        <v>0.87</v>
      </c>
      <c r="M96" s="8"/>
    </row>
    <row r="97" spans="1:14" ht="16" x14ac:dyDescent="0.2">
      <c r="A97" s="54" t="s">
        <v>253</v>
      </c>
      <c r="B97" s="54">
        <f t="shared" si="23"/>
        <v>313.14393719999998</v>
      </c>
      <c r="C97" s="54">
        <f t="shared" si="24"/>
        <v>467.91622799999999</v>
      </c>
      <c r="D97" s="54">
        <f t="shared" si="25"/>
        <v>11710.361592487217</v>
      </c>
      <c r="E97" s="54">
        <f t="shared" si="26"/>
        <v>30498.295664968588</v>
      </c>
      <c r="F97" s="54">
        <f t="shared" si="17"/>
        <v>42208.657257455809</v>
      </c>
      <c r="G97" s="53"/>
      <c r="H97" s="53"/>
      <c r="I97" s="11" t="s">
        <v>252</v>
      </c>
      <c r="J97" s="5">
        <f t="shared" si="18"/>
        <v>0.48459000000000002</v>
      </c>
      <c r="K97" s="5">
        <v>0.55700000000000005</v>
      </c>
      <c r="L97" s="5">
        <v>0.87</v>
      </c>
      <c r="M97" s="8"/>
    </row>
    <row r="98" spans="1:14" ht="16" x14ac:dyDescent="0.2">
      <c r="A98" s="54" t="s">
        <v>254</v>
      </c>
      <c r="B98" s="54">
        <f t="shared" si="23"/>
        <v>336.97062719999997</v>
      </c>
      <c r="C98" s="54">
        <f t="shared" si="24"/>
        <v>503.51932799999997</v>
      </c>
      <c r="D98" s="54">
        <f t="shared" si="25"/>
        <v>12601.38684415573</v>
      </c>
      <c r="E98" s="54">
        <f t="shared" si="26"/>
        <v>32818.868890288402</v>
      </c>
      <c r="F98" s="54">
        <f t="shared" si="17"/>
        <v>45420.25573444413</v>
      </c>
      <c r="G98" s="53"/>
      <c r="H98" s="53"/>
      <c r="I98" s="11" t="s">
        <v>253</v>
      </c>
      <c r="J98" s="5">
        <f t="shared" si="18"/>
        <v>0.49676999999999993</v>
      </c>
      <c r="K98" s="5">
        <v>0.57099999999999995</v>
      </c>
      <c r="L98" s="5">
        <v>0.87</v>
      </c>
      <c r="M98" s="8"/>
    </row>
    <row r="99" spans="1:14" ht="16" x14ac:dyDescent="0.2">
      <c r="A99" s="54" t="s">
        <v>255</v>
      </c>
      <c r="B99" s="54">
        <f t="shared" si="23"/>
        <v>360.99431999999996</v>
      </c>
      <c r="C99" s="54">
        <f t="shared" si="24"/>
        <v>539.41679999999997</v>
      </c>
      <c r="D99" s="54">
        <f t="shared" si="25"/>
        <v>13499.779231983292</v>
      </c>
      <c r="E99" s="54">
        <f t="shared" si="26"/>
        <v>35158.628978029861</v>
      </c>
      <c r="F99" s="54">
        <f t="shared" si="17"/>
        <v>48658.408210013149</v>
      </c>
      <c r="G99" s="53"/>
      <c r="H99" s="53"/>
      <c r="I99" s="11" t="s">
        <v>254</v>
      </c>
      <c r="J99" s="5">
        <f t="shared" si="18"/>
        <v>0.50981999999999994</v>
      </c>
      <c r="K99" s="5">
        <v>0.58599999999999997</v>
      </c>
      <c r="L99" s="5">
        <v>0.87</v>
      </c>
      <c r="M99" s="8"/>
    </row>
    <row r="100" spans="1:14" ht="16" x14ac:dyDescent="0.2">
      <c r="A100" s="54" t="s">
        <v>256</v>
      </c>
      <c r="B100" s="54">
        <f t="shared" si="23"/>
        <v>353.07161280000003</v>
      </c>
      <c r="C100" s="54">
        <f t="shared" si="24"/>
        <v>527.57827200000008</v>
      </c>
      <c r="D100" s="54">
        <f t="shared" si="25"/>
        <v>13203.500891316757</v>
      </c>
      <c r="E100" s="54">
        <f t="shared" si="26"/>
        <v>34387.005970370454</v>
      </c>
      <c r="F100" s="54">
        <f t="shared" si="17"/>
        <v>47590.506861687209</v>
      </c>
      <c r="G100" s="53"/>
      <c r="H100" s="53"/>
      <c r="I100" s="11" t="s">
        <v>255</v>
      </c>
      <c r="J100" s="5">
        <f t="shared" si="18"/>
        <v>0.52200000000000002</v>
      </c>
      <c r="K100" s="5">
        <v>0.6</v>
      </c>
      <c r="L100" s="5">
        <v>0.87</v>
      </c>
      <c r="M100" s="8"/>
    </row>
    <row r="101" spans="1:14" ht="16" x14ac:dyDescent="0.2">
      <c r="A101" s="54" t="s">
        <v>257</v>
      </c>
      <c r="B101" s="54">
        <f t="shared" si="23"/>
        <v>294.7161888</v>
      </c>
      <c r="C101" s="54">
        <f t="shared" si="24"/>
        <v>440.38051200000001</v>
      </c>
      <c r="D101" s="54">
        <f t="shared" si="25"/>
        <v>11021.235693934206</v>
      </c>
      <c r="E101" s="54">
        <f t="shared" si="26"/>
        <v>28703.546182771519</v>
      </c>
      <c r="F101" s="54">
        <f t="shared" si="17"/>
        <v>39724.781876705725</v>
      </c>
      <c r="G101" s="53"/>
      <c r="H101" s="53"/>
      <c r="I101" s="11" t="s">
        <v>256</v>
      </c>
      <c r="J101" s="5">
        <f t="shared" si="18"/>
        <v>0.53417999999999999</v>
      </c>
      <c r="K101" s="5">
        <v>0.61399999999999999</v>
      </c>
      <c r="L101" s="5">
        <v>0.87</v>
      </c>
      <c r="M101" s="8"/>
    </row>
    <row r="102" spans="1:14" ht="16" x14ac:dyDescent="0.2">
      <c r="A102" s="54" t="s">
        <v>258</v>
      </c>
      <c r="B102" s="54">
        <f t="shared" si="23"/>
        <v>263.6163684</v>
      </c>
      <c r="C102" s="54">
        <f t="shared" si="24"/>
        <v>393.909516</v>
      </c>
      <c r="D102" s="54">
        <f t="shared" si="25"/>
        <v>9858.2237397452027</v>
      </c>
      <c r="E102" s="54">
        <f t="shared" si="26"/>
        <v>25674.61473939877</v>
      </c>
      <c r="F102" s="54">
        <f t="shared" si="17"/>
        <v>35532.838479143975</v>
      </c>
      <c r="G102" s="53"/>
      <c r="H102" s="53"/>
      <c r="I102" s="11" t="s">
        <v>257</v>
      </c>
      <c r="J102" s="5">
        <f t="shared" si="18"/>
        <v>0.54722999999999999</v>
      </c>
      <c r="K102" s="5">
        <v>0.629</v>
      </c>
      <c r="L102" s="5">
        <v>0.87</v>
      </c>
      <c r="M102" s="8"/>
    </row>
    <row r="103" spans="1:14" ht="16" x14ac:dyDescent="0.2">
      <c r="A103" s="54" t="s">
        <v>259</v>
      </c>
      <c r="B103" s="54">
        <f t="shared" si="23"/>
        <v>360.30747240000005</v>
      </c>
      <c r="C103" s="54">
        <f t="shared" si="24"/>
        <v>538.39047600000004</v>
      </c>
      <c r="D103" s="54">
        <f t="shared" si="25"/>
        <v>13474.093811320672</v>
      </c>
      <c r="E103" s="54">
        <f t="shared" si="26"/>
        <v>35091.734241478749</v>
      </c>
      <c r="F103" s="54">
        <f t="shared" si="17"/>
        <v>48565.828052799421</v>
      </c>
      <c r="G103" s="53"/>
      <c r="H103" s="53"/>
      <c r="I103" s="11" t="s">
        <v>258</v>
      </c>
      <c r="J103" s="5">
        <f t="shared" si="18"/>
        <v>0.55940999999999996</v>
      </c>
      <c r="K103" s="5">
        <v>0.64300000000000002</v>
      </c>
      <c r="L103" s="5">
        <v>0.87</v>
      </c>
      <c r="M103" s="8"/>
    </row>
    <row r="104" spans="1:14" ht="16" x14ac:dyDescent="0.2">
      <c r="A104" s="54" t="s">
        <v>260</v>
      </c>
      <c r="B104" s="54">
        <f t="shared" si="23"/>
        <v>385.84861920000003</v>
      </c>
      <c r="C104" s="54">
        <f t="shared" si="24"/>
        <v>576.55540800000006</v>
      </c>
      <c r="D104" s="54">
        <f t="shared" si="25"/>
        <v>14429.233058751701</v>
      </c>
      <c r="E104" s="54">
        <f t="shared" si="26"/>
        <v>37579.285026251746</v>
      </c>
      <c r="F104" s="54">
        <f t="shared" si="17"/>
        <v>52008.518085003445</v>
      </c>
      <c r="G104" s="53"/>
      <c r="H104" s="53"/>
      <c r="I104" s="11" t="s">
        <v>259</v>
      </c>
      <c r="J104" s="5">
        <f t="shared" si="18"/>
        <v>0.57159000000000004</v>
      </c>
      <c r="K104" s="5">
        <v>0.65700000000000003</v>
      </c>
      <c r="L104" s="5">
        <v>0.87</v>
      </c>
      <c r="M104" s="8"/>
    </row>
    <row r="105" spans="1:14" ht="16" x14ac:dyDescent="0.2">
      <c r="A105" s="54" t="s">
        <v>261</v>
      </c>
      <c r="B105" s="54">
        <f t="shared" si="23"/>
        <v>339.68607120000001</v>
      </c>
      <c r="C105" s="54">
        <f t="shared" si="24"/>
        <v>507.57688800000005</v>
      </c>
      <c r="D105" s="54">
        <f t="shared" si="25"/>
        <v>12702.933856077731</v>
      </c>
      <c r="E105" s="54">
        <f t="shared" si="26"/>
        <v>33083.336453397482</v>
      </c>
      <c r="F105" s="54">
        <f t="shared" si="17"/>
        <v>45786.270309475214</v>
      </c>
      <c r="G105" s="53"/>
      <c r="H105" s="53"/>
      <c r="I105" s="11" t="s">
        <v>260</v>
      </c>
      <c r="J105" s="5">
        <f t="shared" si="18"/>
        <v>0.58377000000000001</v>
      </c>
      <c r="K105" s="5">
        <v>0.67100000000000004</v>
      </c>
      <c r="L105" s="5">
        <v>0.87</v>
      </c>
      <c r="M105" s="8"/>
    </row>
    <row r="106" spans="1:14" ht="16" x14ac:dyDescent="0.2">
      <c r="A106" s="54" t="s">
        <v>227</v>
      </c>
      <c r="B106" s="54">
        <f t="shared" si="23"/>
        <v>439.79543999999993</v>
      </c>
      <c r="C106" s="54">
        <f t="shared" si="24"/>
        <v>657.16559999999993</v>
      </c>
      <c r="D106" s="54">
        <f t="shared" si="25"/>
        <v>16446.63369560206</v>
      </c>
      <c r="E106" s="54">
        <f t="shared" si="26"/>
        <v>42833.373946685344</v>
      </c>
      <c r="F106" s="54">
        <f t="shared" si="17"/>
        <v>59280.007642287404</v>
      </c>
      <c r="G106" s="53"/>
      <c r="H106" s="53"/>
      <c r="I106" s="11" t="s">
        <v>261</v>
      </c>
      <c r="J106" s="5">
        <f t="shared" si="18"/>
        <v>0.59682000000000002</v>
      </c>
      <c r="K106" s="5">
        <v>0.68600000000000005</v>
      </c>
      <c r="L106" s="5">
        <v>0.87</v>
      </c>
      <c r="M106" s="8"/>
    </row>
    <row r="107" spans="1:14" ht="16" x14ac:dyDescent="0.2">
      <c r="A107" s="53"/>
      <c r="B107" s="53"/>
      <c r="C107" s="53"/>
      <c r="D107" s="53"/>
      <c r="E107" s="53"/>
      <c r="F107" s="53"/>
      <c r="G107" s="53"/>
      <c r="H107" s="53"/>
      <c r="I107" s="11" t="s">
        <v>227</v>
      </c>
      <c r="J107" s="5">
        <f t="shared" si="18"/>
        <v>0.60899999999999999</v>
      </c>
      <c r="K107" s="5">
        <v>0.7</v>
      </c>
      <c r="L107" s="5">
        <v>0.87</v>
      </c>
      <c r="M107" s="8"/>
    </row>
    <row r="108" spans="1:14" ht="16" x14ac:dyDescent="0.2">
      <c r="A108" s="53"/>
      <c r="B108" s="53"/>
      <c r="C108" s="53"/>
      <c r="D108" s="53"/>
      <c r="E108" s="53"/>
      <c r="F108" s="53"/>
      <c r="G108" s="53"/>
      <c r="H108" s="53"/>
      <c r="I108" s="13"/>
      <c r="J108" s="53"/>
      <c r="K108" s="53"/>
      <c r="L108" s="8"/>
      <c r="M108" s="8"/>
      <c r="N108" s="8"/>
    </row>
    <row r="109" spans="1:14" ht="16" x14ac:dyDescent="0.2">
      <c r="A109" s="53"/>
      <c r="B109" s="53"/>
      <c r="C109" s="53"/>
      <c r="D109" s="53"/>
      <c r="E109" s="53"/>
      <c r="F109" s="53"/>
      <c r="G109" s="53"/>
      <c r="H109" s="53"/>
      <c r="I109" s="13"/>
      <c r="J109" s="53"/>
      <c r="K109" s="53"/>
      <c r="L109" s="8"/>
      <c r="M109" s="8"/>
      <c r="N109" s="8"/>
    </row>
    <row r="110" spans="1:14" ht="16" x14ac:dyDescent="0.2">
      <c r="A110" s="53"/>
      <c r="B110" s="53"/>
      <c r="C110" s="53"/>
      <c r="D110" s="53"/>
      <c r="E110" s="53"/>
      <c r="F110" s="53"/>
      <c r="G110" s="53"/>
      <c r="H110" s="53"/>
      <c r="I110" s="13"/>
      <c r="J110" s="53"/>
      <c r="K110" s="53"/>
      <c r="L110" s="8"/>
      <c r="M110" s="8"/>
      <c r="N110" s="8"/>
    </row>
    <row r="111" spans="1:14" ht="16" x14ac:dyDescent="0.2">
      <c r="A111" s="53"/>
      <c r="B111" s="53"/>
      <c r="C111" s="53"/>
      <c r="D111" s="53"/>
      <c r="E111" s="53"/>
      <c r="F111" s="53"/>
      <c r="G111" s="53"/>
      <c r="H111" s="53"/>
      <c r="I111" s="13"/>
      <c r="J111" s="53"/>
      <c r="K111" s="53"/>
      <c r="L111" s="8"/>
      <c r="M111" s="8"/>
      <c r="N111" s="8"/>
    </row>
    <row r="112" spans="1:14" ht="16" x14ac:dyDescent="0.2">
      <c r="A112" s="53"/>
      <c r="B112" s="53"/>
      <c r="C112" s="53"/>
      <c r="D112" s="53"/>
      <c r="E112" s="53"/>
      <c r="F112" s="53"/>
      <c r="G112" s="53"/>
      <c r="H112" s="53"/>
      <c r="I112" s="13"/>
      <c r="J112" s="53"/>
      <c r="K112" s="53"/>
      <c r="L112" s="8"/>
      <c r="M112" s="8"/>
      <c r="N112" s="8"/>
    </row>
    <row r="113" spans="1:14" ht="19" x14ac:dyDescent="0.25">
      <c r="A113" s="126" t="s">
        <v>293</v>
      </c>
      <c r="B113" s="127"/>
      <c r="C113" s="127"/>
      <c r="D113" s="127"/>
      <c r="E113" s="127"/>
      <c r="F113" s="127"/>
      <c r="G113" s="53"/>
      <c r="H113" s="53"/>
      <c r="I113" s="13"/>
      <c r="J113" s="53"/>
      <c r="K113" s="53"/>
      <c r="L113" s="8"/>
      <c r="M113" s="8"/>
      <c r="N113" s="8"/>
    </row>
    <row r="114" spans="1:14" ht="16" x14ac:dyDescent="0.2">
      <c r="A114" s="11" t="s">
        <v>4</v>
      </c>
      <c r="B114" s="57" t="s">
        <v>135</v>
      </c>
      <c r="C114" s="57" t="s">
        <v>136</v>
      </c>
      <c r="D114" s="57" t="s">
        <v>137</v>
      </c>
      <c r="E114" s="57" t="s">
        <v>138</v>
      </c>
      <c r="F114" s="57" t="s">
        <v>139</v>
      </c>
      <c r="G114" s="53"/>
      <c r="H114" s="58"/>
      <c r="I114" s="13"/>
      <c r="J114" s="53"/>
      <c r="K114" s="53"/>
      <c r="L114" s="8"/>
      <c r="M114" s="8"/>
      <c r="N114" s="8"/>
    </row>
    <row r="115" spans="1:14" ht="16" x14ac:dyDescent="0.2">
      <c r="A115" s="54" t="s">
        <v>226</v>
      </c>
      <c r="B115" s="54">
        <f>$B$14*J72*B35</f>
        <v>86.169600000000017</v>
      </c>
      <c r="C115" s="54">
        <f t="shared" ref="C115:C126" si="27">$B$14*$B$6*K72*B35</f>
        <v>140.0256</v>
      </c>
      <c r="D115" s="54">
        <f>B115*'Coûts &amp; variables'!$B$10</f>
        <v>3446.7840000000006</v>
      </c>
      <c r="E115" s="54">
        <f>C115*'Coûts &amp; variables'!$B$11</f>
        <v>9801.7919999999995</v>
      </c>
      <c r="F115" s="54">
        <f>D115+E115</f>
        <v>13248.576000000001</v>
      </c>
      <c r="G115" s="53"/>
      <c r="H115" s="53"/>
      <c r="I115" s="13"/>
      <c r="J115" s="53"/>
      <c r="K115" s="53"/>
      <c r="L115" s="8"/>
      <c r="M115" s="8"/>
      <c r="N115" s="8"/>
    </row>
    <row r="116" spans="1:14" ht="16" x14ac:dyDescent="0.2">
      <c r="A116" s="54" t="s">
        <v>228</v>
      </c>
      <c r="B116" s="54">
        <f>$B$14*J73*B36</f>
        <v>97.440192000000025</v>
      </c>
      <c r="C116" s="54">
        <f t="shared" si="27"/>
        <v>158.34031200000001</v>
      </c>
      <c r="D116" s="54">
        <f>B116*'Coûts &amp; variables'!$B$10</f>
        <v>3897.607680000001</v>
      </c>
      <c r="E116" s="54">
        <f>C116*'Coûts &amp; variables'!$B$11</f>
        <v>11083.821840000001</v>
      </c>
      <c r="F116" s="54">
        <f t="shared" ref="F116:F150" si="28">D116+E116</f>
        <v>14981.429520000002</v>
      </c>
      <c r="G116" s="53"/>
      <c r="H116" s="53"/>
      <c r="I116" s="13"/>
      <c r="J116" s="53"/>
      <c r="K116" s="53"/>
      <c r="L116" s="8"/>
      <c r="M116" s="8"/>
      <c r="N116" s="8"/>
    </row>
    <row r="117" spans="1:14" ht="16" x14ac:dyDescent="0.2">
      <c r="A117" s="54" t="s">
        <v>229</v>
      </c>
      <c r="B117" s="54">
        <f t="shared" ref="B117:B126" si="29">$B$14*J74*B37</f>
        <v>115.48195200000002</v>
      </c>
      <c r="C117" s="54">
        <f t="shared" si="27"/>
        <v>187.65817200000004</v>
      </c>
      <c r="D117" s="54">
        <f>B117*'Coûts &amp; variables'!$B$10</f>
        <v>4619.278080000001</v>
      </c>
      <c r="E117" s="54">
        <f>C117*'Coûts &amp; variables'!$B$11</f>
        <v>13136.072040000003</v>
      </c>
      <c r="F117" s="54">
        <f t="shared" si="28"/>
        <v>17755.350120000003</v>
      </c>
      <c r="G117" s="53"/>
      <c r="H117" s="53"/>
      <c r="I117" s="13"/>
      <c r="J117" s="53"/>
      <c r="K117" s="53"/>
      <c r="L117" s="8"/>
      <c r="M117" s="8"/>
      <c r="N117" s="8"/>
    </row>
    <row r="118" spans="1:14" ht="16" x14ac:dyDescent="0.2">
      <c r="A118" s="54" t="s">
        <v>230</v>
      </c>
      <c r="B118" s="54">
        <f t="shared" si="29"/>
        <v>128.49062400000003</v>
      </c>
      <c r="C118" s="54">
        <f t="shared" si="27"/>
        <v>208.79726400000001</v>
      </c>
      <c r="D118" s="54">
        <f>B118*'Coûts &amp; variables'!$B$10</f>
        <v>5139.624960000001</v>
      </c>
      <c r="E118" s="54">
        <f>C118*'Coûts &amp; variables'!$B$11</f>
        <v>14615.808480000002</v>
      </c>
      <c r="F118" s="54">
        <f t="shared" si="28"/>
        <v>19755.433440000001</v>
      </c>
      <c r="G118" s="53"/>
      <c r="H118" s="53"/>
      <c r="I118" s="13"/>
      <c r="J118" s="53"/>
      <c r="K118" s="53"/>
      <c r="L118" s="8"/>
      <c r="M118" s="8"/>
      <c r="N118" s="8"/>
    </row>
    <row r="119" spans="1:14" ht="16" x14ac:dyDescent="0.2">
      <c r="A119" s="54" t="s">
        <v>231</v>
      </c>
      <c r="B119" s="54">
        <f t="shared" si="29"/>
        <v>142.18473599999999</v>
      </c>
      <c r="C119" s="54">
        <f t="shared" si="27"/>
        <v>231.05019599999997</v>
      </c>
      <c r="D119" s="54">
        <f>B119*'Coûts &amp; variables'!$B$10</f>
        <v>5687.389439999999</v>
      </c>
      <c r="E119" s="54">
        <f>C119*'Coûts &amp; variables'!$B$11</f>
        <v>16173.513719999997</v>
      </c>
      <c r="F119" s="54">
        <f t="shared" si="28"/>
        <v>21860.903159999994</v>
      </c>
      <c r="G119" s="53"/>
      <c r="H119" s="53"/>
      <c r="I119" s="13"/>
      <c r="J119" s="53"/>
      <c r="K119" s="53"/>
      <c r="L119" s="8"/>
      <c r="M119" s="8"/>
      <c r="N119" s="8"/>
    </row>
    <row r="120" spans="1:14" ht="16" x14ac:dyDescent="0.2">
      <c r="A120" s="54" t="s">
        <v>232</v>
      </c>
      <c r="B120" s="54">
        <f t="shared" si="29"/>
        <v>143.29612800000001</v>
      </c>
      <c r="C120" s="54">
        <f t="shared" si="27"/>
        <v>232.85620800000004</v>
      </c>
      <c r="D120" s="54">
        <f>B120*'Coûts &amp; variables'!$B$10</f>
        <v>5731.84512</v>
      </c>
      <c r="E120" s="54">
        <f>C120*'Coûts &amp; variables'!$B$11</f>
        <v>16299.934560000003</v>
      </c>
      <c r="F120" s="54">
        <f t="shared" si="28"/>
        <v>22031.779680000003</v>
      </c>
      <c r="G120" s="53"/>
      <c r="H120" s="53"/>
      <c r="I120" s="13"/>
      <c r="J120" s="53"/>
      <c r="K120" s="53"/>
      <c r="L120" s="8"/>
      <c r="M120" s="8"/>
      <c r="N120" s="8"/>
    </row>
    <row r="121" spans="1:14" ht="16" x14ac:dyDescent="0.2">
      <c r="A121" s="54" t="s">
        <v>233</v>
      </c>
      <c r="B121" s="54">
        <f t="shared" si="29"/>
        <v>123.222528</v>
      </c>
      <c r="C121" s="54">
        <f t="shared" si="27"/>
        <v>200.23660799999999</v>
      </c>
      <c r="D121" s="54">
        <f>B121*'Coûts &amp; variables'!$B$10</f>
        <v>4928.9011199999995</v>
      </c>
      <c r="E121" s="54">
        <f>C121*'Coûts &amp; variables'!$B$11</f>
        <v>14016.562559999998</v>
      </c>
      <c r="F121" s="54">
        <f t="shared" si="28"/>
        <v>18945.463679999997</v>
      </c>
      <c r="G121" s="53"/>
      <c r="H121" s="53"/>
      <c r="I121" s="13"/>
      <c r="J121" s="53"/>
      <c r="K121" s="53"/>
      <c r="L121" s="8"/>
      <c r="M121" s="8"/>
      <c r="N121" s="8"/>
    </row>
    <row r="122" spans="1:14" ht="16" x14ac:dyDescent="0.2">
      <c r="A122" s="54" t="s">
        <v>234</v>
      </c>
      <c r="B122" s="54">
        <f t="shared" si="29"/>
        <v>113.0976</v>
      </c>
      <c r="C122" s="54">
        <f t="shared" si="27"/>
        <v>183.78360000000001</v>
      </c>
      <c r="D122" s="54">
        <f>B122*'Coûts &amp; variables'!$B$10</f>
        <v>4523.9040000000005</v>
      </c>
      <c r="E122" s="54">
        <f>C122*'Coûts &amp; variables'!$B$11</f>
        <v>12864.852000000001</v>
      </c>
      <c r="F122" s="54">
        <f t="shared" si="28"/>
        <v>17388.756000000001</v>
      </c>
      <c r="G122" s="53"/>
      <c r="H122" s="53"/>
      <c r="I122" s="13"/>
      <c r="J122" s="53"/>
      <c r="K122" s="53"/>
      <c r="L122" s="8"/>
      <c r="M122" s="8"/>
      <c r="N122" s="8"/>
    </row>
    <row r="123" spans="1:14" ht="16" x14ac:dyDescent="0.2">
      <c r="A123" s="54" t="s">
        <v>235</v>
      </c>
      <c r="B123" s="54">
        <f t="shared" si="29"/>
        <v>158.34643200000002</v>
      </c>
      <c r="C123" s="54">
        <f t="shared" si="27"/>
        <v>257.312952</v>
      </c>
      <c r="D123" s="54">
        <f>B123*'Coûts &amp; variables'!$B$10</f>
        <v>6333.8572800000011</v>
      </c>
      <c r="E123" s="54">
        <f>C123*'Coûts &amp; variables'!$B$11</f>
        <v>18011.906640000001</v>
      </c>
      <c r="F123" s="54">
        <f t="shared" si="28"/>
        <v>24345.763920000001</v>
      </c>
      <c r="G123" s="53"/>
      <c r="H123" s="53"/>
      <c r="I123" s="13"/>
      <c r="J123" s="53"/>
      <c r="K123" s="53"/>
      <c r="L123" s="8"/>
      <c r="M123" s="8"/>
      <c r="N123" s="8"/>
    </row>
    <row r="124" spans="1:14" ht="16" x14ac:dyDescent="0.2">
      <c r="A124" s="54" t="s">
        <v>236</v>
      </c>
      <c r="B124" s="54">
        <f t="shared" si="29"/>
        <v>173.96467200000004</v>
      </c>
      <c r="C124" s="54">
        <f t="shared" si="27"/>
        <v>282.69259200000005</v>
      </c>
      <c r="D124" s="54">
        <f>B124*'Coûts &amp; variables'!$B$10</f>
        <v>6958.5868800000017</v>
      </c>
      <c r="E124" s="54">
        <f>C124*'Coûts &amp; variables'!$B$11</f>
        <v>19788.481440000003</v>
      </c>
      <c r="F124" s="54">
        <f t="shared" si="28"/>
        <v>26747.068320000006</v>
      </c>
      <c r="G124" s="53"/>
      <c r="H124" s="53"/>
      <c r="I124" s="13"/>
      <c r="J124" s="53"/>
      <c r="K124" s="53"/>
      <c r="L124" s="8"/>
      <c r="M124" s="8"/>
      <c r="N124" s="8"/>
    </row>
    <row r="125" spans="1:14" ht="16" x14ac:dyDescent="0.2">
      <c r="A125" s="54" t="s">
        <v>237</v>
      </c>
      <c r="B125" s="54">
        <f t="shared" si="29"/>
        <v>156.17750400000003</v>
      </c>
      <c r="C125" s="54">
        <f t="shared" si="27"/>
        <v>253.78844400000003</v>
      </c>
      <c r="D125" s="54">
        <f>B125*'Coûts &amp; variables'!$B$10</f>
        <v>6247.1001600000009</v>
      </c>
      <c r="E125" s="54">
        <f>C125*'Coûts &amp; variables'!$B$11</f>
        <v>17765.191080000001</v>
      </c>
      <c r="F125" s="54">
        <f t="shared" si="28"/>
        <v>24012.291240000002</v>
      </c>
      <c r="G125" s="53"/>
      <c r="H125" s="53"/>
      <c r="I125" s="13"/>
      <c r="J125" s="53"/>
      <c r="K125" s="53"/>
      <c r="L125" s="8"/>
      <c r="M125" s="8"/>
      <c r="N125" s="8"/>
    </row>
    <row r="126" spans="1:14" ht="16" x14ac:dyDescent="0.2">
      <c r="A126" s="54" t="s">
        <v>238</v>
      </c>
      <c r="B126" s="54">
        <f t="shared" si="29"/>
        <v>206.248896</v>
      </c>
      <c r="C126" s="54">
        <f t="shared" si="27"/>
        <v>335.15445599999998</v>
      </c>
      <c r="D126" s="54">
        <f>B126*'Coûts &amp; variables'!$B$10</f>
        <v>8249.9558400000005</v>
      </c>
      <c r="E126" s="54">
        <f>C126*'Coûts &amp; variables'!$B$11</f>
        <v>23460.81192</v>
      </c>
      <c r="F126" s="54">
        <f t="shared" si="28"/>
        <v>31710.767760000002</v>
      </c>
      <c r="G126" s="53"/>
      <c r="H126" s="53"/>
      <c r="I126" s="13"/>
      <c r="J126" s="53"/>
      <c r="K126" s="53"/>
      <c r="L126" s="8"/>
      <c r="M126" s="8"/>
      <c r="N126" s="8"/>
    </row>
    <row r="127" spans="1:14" ht="16" x14ac:dyDescent="0.2">
      <c r="A127" s="54" t="s">
        <v>239</v>
      </c>
      <c r="B127" s="54">
        <f t="shared" ref="B127:B138" si="30">$B$14*J84*B35</f>
        <v>165.83878079999999</v>
      </c>
      <c r="C127" s="54">
        <f t="shared" ref="C127:C138" si="31">$B$14*$B$6*K84*B35</f>
        <v>259.74748799999998</v>
      </c>
      <c r="D127" s="54">
        <f>B127*'Coûts &amp; variables'!$B$10</f>
        <v>6633.5512319999998</v>
      </c>
      <c r="E127" s="54">
        <f>C127*'Coûts &amp; variables'!$B$11</f>
        <v>18182.324159999996</v>
      </c>
      <c r="F127" s="54">
        <f t="shared" si="28"/>
        <v>24815.875391999994</v>
      </c>
      <c r="G127" s="53"/>
      <c r="H127" s="53"/>
      <c r="I127" s="13"/>
      <c r="J127" s="53"/>
      <c r="K127" s="53"/>
      <c r="L127" s="8"/>
      <c r="M127" s="8"/>
      <c r="N127" s="8"/>
    </row>
    <row r="128" spans="1:14" ht="16" x14ac:dyDescent="0.2">
      <c r="A128" s="54" t="s">
        <v>240</v>
      </c>
      <c r="B128" s="54">
        <f t="shared" si="30"/>
        <v>182.34748080000003</v>
      </c>
      <c r="C128" s="54">
        <f t="shared" si="31"/>
        <v>285.60448800000006</v>
      </c>
      <c r="D128" s="54">
        <f>B128*'Coûts &amp; variables'!$B$10</f>
        <v>7293.8992320000016</v>
      </c>
      <c r="E128" s="54">
        <f>C128*'Coûts &amp; variables'!$B$11</f>
        <v>19992.314160000005</v>
      </c>
      <c r="F128" s="54">
        <f t="shared" si="28"/>
        <v>27286.213392000005</v>
      </c>
      <c r="G128" s="53"/>
      <c r="H128" s="53"/>
      <c r="I128" s="13"/>
      <c r="J128" s="53"/>
      <c r="K128" s="53"/>
      <c r="L128" s="8"/>
      <c r="M128" s="8"/>
      <c r="N128" s="8"/>
    </row>
    <row r="129" spans="1:14" ht="16" x14ac:dyDescent="0.2">
      <c r="A129" s="54" t="s">
        <v>241</v>
      </c>
      <c r="B129" s="54">
        <f t="shared" si="30"/>
        <v>209.27951999999999</v>
      </c>
      <c r="C129" s="54">
        <f t="shared" si="31"/>
        <v>327.78720000000004</v>
      </c>
      <c r="D129" s="54">
        <f>B129*'Coûts &amp; variables'!$B$10</f>
        <v>8371.1808000000001</v>
      </c>
      <c r="E129" s="54">
        <f>C129*'Coûts &amp; variables'!$B$11</f>
        <v>22945.104000000003</v>
      </c>
      <c r="F129" s="54">
        <f t="shared" si="28"/>
        <v>31316.284800000001</v>
      </c>
      <c r="G129" s="53"/>
      <c r="H129" s="53"/>
      <c r="I129" s="13"/>
      <c r="J129" s="53"/>
      <c r="K129" s="53"/>
      <c r="L129" s="8"/>
      <c r="M129" s="8"/>
      <c r="N129" s="8"/>
    </row>
    <row r="130" spans="1:14" ht="16" x14ac:dyDescent="0.2">
      <c r="A130" s="54" t="s">
        <v>242</v>
      </c>
      <c r="B130" s="54">
        <f t="shared" si="30"/>
        <v>227.1190752</v>
      </c>
      <c r="C130" s="54">
        <f t="shared" si="31"/>
        <v>355.72867200000002</v>
      </c>
      <c r="D130" s="54">
        <f>B130*'Coûts &amp; variables'!$B$10</f>
        <v>9084.7630079999999</v>
      </c>
      <c r="E130" s="54">
        <f>C130*'Coûts &amp; variables'!$B$11</f>
        <v>24901.00704</v>
      </c>
      <c r="F130" s="54">
        <f t="shared" si="28"/>
        <v>33985.770047999998</v>
      </c>
      <c r="G130" s="53"/>
      <c r="H130" s="53"/>
      <c r="I130" s="13"/>
      <c r="J130" s="53"/>
      <c r="K130" s="53"/>
      <c r="L130" s="8"/>
      <c r="M130" s="8"/>
      <c r="N130" s="8"/>
    </row>
    <row r="131" spans="1:14" ht="16" x14ac:dyDescent="0.2">
      <c r="A131" s="54" t="s">
        <v>243</v>
      </c>
      <c r="B131" s="54">
        <f t="shared" si="30"/>
        <v>246.24376919999997</v>
      </c>
      <c r="C131" s="54">
        <f t="shared" si="31"/>
        <v>385.68301200000002</v>
      </c>
      <c r="D131" s="54">
        <f>B131*'Coûts &amp; variables'!$B$10</f>
        <v>9849.7507679999981</v>
      </c>
      <c r="E131" s="54">
        <f>C131*'Coûts &amp; variables'!$B$11</f>
        <v>26997.810840000002</v>
      </c>
      <c r="F131" s="54">
        <f t="shared" si="28"/>
        <v>36847.561608000004</v>
      </c>
      <c r="G131" s="53"/>
      <c r="H131" s="53"/>
      <c r="I131" s="13"/>
      <c r="J131" s="53"/>
      <c r="K131" s="53"/>
      <c r="L131" s="8"/>
      <c r="M131" s="8"/>
      <c r="N131" s="8"/>
    </row>
    <row r="132" spans="1:14" ht="16" x14ac:dyDescent="0.2">
      <c r="A132" s="54" t="s">
        <v>244</v>
      </c>
      <c r="B132" s="54">
        <f t="shared" si="30"/>
        <v>243.0283824</v>
      </c>
      <c r="C132" s="54">
        <f t="shared" si="31"/>
        <v>380.64686400000005</v>
      </c>
      <c r="D132" s="54">
        <f>B132*'Coûts &amp; variables'!$B$10</f>
        <v>9721.1352960000004</v>
      </c>
      <c r="E132" s="54">
        <f>C132*'Coûts &amp; variables'!$B$11</f>
        <v>26645.280480000005</v>
      </c>
      <c r="F132" s="54">
        <f t="shared" si="28"/>
        <v>36366.415776000009</v>
      </c>
      <c r="G132" s="53"/>
      <c r="H132" s="53"/>
      <c r="I132" s="53"/>
      <c r="J132" s="53"/>
      <c r="K132" s="53"/>
      <c r="L132" s="8"/>
      <c r="M132" s="8"/>
      <c r="N132" s="8"/>
    </row>
    <row r="133" spans="1:14" ht="16" x14ac:dyDescent="0.2">
      <c r="A133" s="54" t="s">
        <v>245</v>
      </c>
      <c r="B133" s="54">
        <f t="shared" si="30"/>
        <v>204.28119359999999</v>
      </c>
      <c r="C133" s="54">
        <f t="shared" si="31"/>
        <v>319.95849600000003</v>
      </c>
      <c r="D133" s="54">
        <f>B133*'Coûts &amp; variables'!$B$10</f>
        <v>8171.2477440000002</v>
      </c>
      <c r="E133" s="54">
        <f>C133*'Coûts &amp; variables'!$B$11</f>
        <v>22397.094720000001</v>
      </c>
      <c r="F133" s="54">
        <f t="shared" si="28"/>
        <v>30568.342464000001</v>
      </c>
      <c r="G133" s="53"/>
      <c r="H133" s="53"/>
      <c r="I133" s="53"/>
      <c r="J133" s="53"/>
      <c r="K133" s="53"/>
      <c r="L133" s="8"/>
      <c r="M133" s="8"/>
      <c r="N133" s="8"/>
    </row>
    <row r="134" spans="1:14" ht="16" x14ac:dyDescent="0.2">
      <c r="A134" s="54" t="s">
        <v>246</v>
      </c>
      <c r="B134" s="54">
        <f t="shared" si="30"/>
        <v>184.22185319999997</v>
      </c>
      <c r="C134" s="54">
        <f t="shared" si="31"/>
        <v>288.54025200000001</v>
      </c>
      <c r="D134" s="54">
        <f>B134*'Coûts &amp; variables'!$B$10</f>
        <v>7368.8741279999986</v>
      </c>
      <c r="E134" s="54">
        <f>C134*'Coûts &amp; variables'!$B$11</f>
        <v>20197.817640000001</v>
      </c>
      <c r="F134" s="54">
        <f t="shared" si="28"/>
        <v>27566.691768000001</v>
      </c>
      <c r="G134" s="53"/>
      <c r="H134" s="53"/>
      <c r="I134" s="53"/>
      <c r="J134" s="53"/>
      <c r="K134" s="53"/>
      <c r="L134" s="8"/>
      <c r="M134" s="8"/>
      <c r="N134" s="8"/>
    </row>
    <row r="135" spans="1:14" ht="16" x14ac:dyDescent="0.2">
      <c r="A135" s="54" t="s">
        <v>247</v>
      </c>
      <c r="B135" s="54">
        <f t="shared" si="30"/>
        <v>254.27461679999999</v>
      </c>
      <c r="C135" s="54">
        <f t="shared" si="31"/>
        <v>398.26144800000003</v>
      </c>
      <c r="D135" s="54">
        <f>B135*'Coûts &amp; variables'!$B$10</f>
        <v>10170.984671999999</v>
      </c>
      <c r="E135" s="54">
        <f>C135*'Coûts &amp; variables'!$B$11</f>
        <v>27878.301360000001</v>
      </c>
      <c r="F135" s="54">
        <f t="shared" si="28"/>
        <v>38049.286032000004</v>
      </c>
      <c r="G135" s="53"/>
      <c r="H135" s="53"/>
      <c r="I135" s="53"/>
      <c r="J135" s="53"/>
      <c r="K135" s="53"/>
      <c r="L135" s="8"/>
      <c r="M135" s="8"/>
      <c r="N135" s="8"/>
    </row>
    <row r="136" spans="1:14" ht="16" x14ac:dyDescent="0.2">
      <c r="A136" s="54" t="s">
        <v>248</v>
      </c>
      <c r="B136" s="54">
        <f t="shared" si="30"/>
        <v>274.29840000000002</v>
      </c>
      <c r="C136" s="54">
        <f t="shared" si="31"/>
        <v>429.62400000000002</v>
      </c>
      <c r="D136" s="54">
        <f>B136*'Coûts &amp; variables'!$B$10</f>
        <v>10971.936000000002</v>
      </c>
      <c r="E136" s="54">
        <f>C136*'Coûts &amp; variables'!$B$11</f>
        <v>30073.68</v>
      </c>
      <c r="F136" s="54">
        <f t="shared" si="28"/>
        <v>41045.616000000002</v>
      </c>
      <c r="G136" s="53"/>
      <c r="H136" s="53"/>
      <c r="I136" s="53"/>
      <c r="J136" s="53"/>
      <c r="K136" s="53"/>
      <c r="L136" s="8"/>
      <c r="M136" s="8"/>
      <c r="N136" s="8"/>
    </row>
    <row r="137" spans="1:14" ht="16" x14ac:dyDescent="0.2">
      <c r="A137" s="54" t="s">
        <v>249</v>
      </c>
      <c r="B137" s="54">
        <f t="shared" si="30"/>
        <v>242.8150392</v>
      </c>
      <c r="C137" s="54">
        <f t="shared" si="31"/>
        <v>380.31271200000003</v>
      </c>
      <c r="D137" s="54">
        <f>B137*'Coûts &amp; variables'!$B$10</f>
        <v>9712.601568</v>
      </c>
      <c r="E137" s="54">
        <f>C137*'Coûts &amp; variables'!$B$11</f>
        <v>26621.889840000003</v>
      </c>
      <c r="F137" s="54">
        <f t="shared" si="28"/>
        <v>36334.491408000002</v>
      </c>
      <c r="G137" s="53"/>
      <c r="H137" s="53"/>
      <c r="I137" s="53"/>
      <c r="J137" s="53"/>
      <c r="K137" s="53"/>
      <c r="L137" s="8"/>
      <c r="M137" s="8"/>
      <c r="N137" s="8"/>
    </row>
    <row r="138" spans="1:14" ht="16" x14ac:dyDescent="0.2">
      <c r="A138" s="54" t="s">
        <v>250</v>
      </c>
      <c r="B138" s="54">
        <f t="shared" si="30"/>
        <v>317.07879120000001</v>
      </c>
      <c r="C138" s="54">
        <f t="shared" si="31"/>
        <v>496.62943200000001</v>
      </c>
      <c r="D138" s="54">
        <f>B138*'Coûts &amp; variables'!$B$10</f>
        <v>12683.151648000001</v>
      </c>
      <c r="E138" s="54">
        <f>C138*'Coûts &amp; variables'!$B$11</f>
        <v>34764.060239999999</v>
      </c>
      <c r="F138" s="54">
        <f t="shared" si="28"/>
        <v>47447.211887999998</v>
      </c>
      <c r="G138" s="53"/>
      <c r="H138" s="53"/>
      <c r="I138" s="53"/>
      <c r="J138" s="53"/>
      <c r="K138" s="53"/>
      <c r="L138" s="8"/>
      <c r="M138" s="8"/>
      <c r="N138" s="8"/>
    </row>
    <row r="139" spans="1:14" ht="16" x14ac:dyDescent="0.2">
      <c r="A139" s="54" t="s">
        <v>251</v>
      </c>
      <c r="B139" s="54">
        <f t="shared" ref="B139:B150" si="32">$B$14*J96*B35</f>
        <v>254.42112960000003</v>
      </c>
      <c r="C139" s="54">
        <f t="shared" ref="C139:C150" si="33">$B$14*$B$6*K96*B35</f>
        <v>380.16950400000002</v>
      </c>
      <c r="D139" s="54">
        <f>B139*'Coûts &amp; variables'!$B$10</f>
        <v>10176.845184000002</v>
      </c>
      <c r="E139" s="54">
        <f>C139*'Coûts &amp; variables'!$B$11</f>
        <v>26611.865280000002</v>
      </c>
      <c r="F139" s="54">
        <f t="shared" si="28"/>
        <v>36788.710464000003</v>
      </c>
      <c r="G139" s="53"/>
      <c r="H139" s="53"/>
      <c r="I139" s="53"/>
      <c r="J139" s="53"/>
      <c r="K139" s="53"/>
      <c r="L139" s="8"/>
      <c r="M139" s="8"/>
      <c r="N139" s="8"/>
    </row>
    <row r="140" spans="1:14" ht="16" x14ac:dyDescent="0.2">
      <c r="A140" s="54" t="s">
        <v>252</v>
      </c>
      <c r="B140" s="54">
        <f t="shared" si="32"/>
        <v>275.80924440000001</v>
      </c>
      <c r="C140" s="54">
        <f t="shared" si="33"/>
        <v>412.12875600000007</v>
      </c>
      <c r="D140" s="54">
        <f>B140*'Coûts &amp; variables'!$B$10</f>
        <v>11032.369776</v>
      </c>
      <c r="E140" s="54">
        <f>C140*'Coûts &amp; variables'!$B$11</f>
        <v>28849.012920000005</v>
      </c>
      <c r="F140" s="54">
        <f t="shared" si="28"/>
        <v>39881.382696000001</v>
      </c>
      <c r="G140" s="53"/>
      <c r="H140" s="53"/>
      <c r="I140" s="53"/>
      <c r="J140" s="53"/>
      <c r="K140" s="53"/>
      <c r="L140" s="8"/>
      <c r="M140" s="8"/>
      <c r="N140" s="8"/>
    </row>
    <row r="141" spans="1:14" ht="16" x14ac:dyDescent="0.2">
      <c r="A141" s="54" t="s">
        <v>253</v>
      </c>
      <c r="B141" s="54">
        <f t="shared" si="32"/>
        <v>313.14393719999998</v>
      </c>
      <c r="C141" s="54">
        <f t="shared" si="33"/>
        <v>467.91622799999999</v>
      </c>
      <c r="D141" s="54">
        <f>B141*'Coûts &amp; variables'!$B$10</f>
        <v>12525.757487999999</v>
      </c>
      <c r="E141" s="54">
        <f>C141*'Coûts &amp; variables'!$B$11</f>
        <v>32754.13596</v>
      </c>
      <c r="F141" s="54">
        <f t="shared" si="28"/>
        <v>45279.893448000003</v>
      </c>
      <c r="G141" s="53"/>
      <c r="H141" s="53"/>
      <c r="I141" s="53"/>
      <c r="J141" s="53"/>
      <c r="K141" s="53"/>
      <c r="L141" s="8"/>
      <c r="M141" s="8"/>
      <c r="N141" s="8"/>
    </row>
    <row r="142" spans="1:14" ht="16" x14ac:dyDescent="0.2">
      <c r="A142" s="54" t="s">
        <v>254</v>
      </c>
      <c r="B142" s="54">
        <f t="shared" si="32"/>
        <v>336.97062719999997</v>
      </c>
      <c r="C142" s="54">
        <f t="shared" si="33"/>
        <v>503.51932799999997</v>
      </c>
      <c r="D142" s="54">
        <f>B142*'Coûts &amp; variables'!$B$10</f>
        <v>13478.825087999998</v>
      </c>
      <c r="E142" s="54">
        <f>C142*'Coûts &amp; variables'!$B$11</f>
        <v>35246.352959999997</v>
      </c>
      <c r="F142" s="54">
        <f t="shared" si="28"/>
        <v>48725.178047999994</v>
      </c>
      <c r="G142" s="53"/>
      <c r="H142" s="53"/>
      <c r="I142" s="53"/>
      <c r="J142" s="53"/>
      <c r="K142" s="53"/>
      <c r="L142" s="8"/>
      <c r="M142" s="8"/>
      <c r="N142" s="8"/>
    </row>
    <row r="143" spans="1:14" ht="16" x14ac:dyDescent="0.2">
      <c r="A143" s="54" t="s">
        <v>255</v>
      </c>
      <c r="B143" s="54">
        <f t="shared" si="32"/>
        <v>360.99431999999996</v>
      </c>
      <c r="C143" s="54">
        <f t="shared" si="33"/>
        <v>539.41679999999997</v>
      </c>
      <c r="D143" s="54">
        <f>B143*'Coûts &amp; variables'!$B$10</f>
        <v>14439.772799999999</v>
      </c>
      <c r="E143" s="54">
        <f>C143*'Coûts &amp; variables'!$B$11</f>
        <v>37759.175999999999</v>
      </c>
      <c r="F143" s="54">
        <f t="shared" si="28"/>
        <v>52198.948799999998</v>
      </c>
      <c r="G143" s="53"/>
      <c r="H143" s="53"/>
      <c r="I143" s="53"/>
      <c r="J143" s="53"/>
      <c r="K143" s="53"/>
      <c r="L143" s="8"/>
      <c r="M143" s="8"/>
      <c r="N143" s="8"/>
    </row>
    <row r="144" spans="1:14" ht="16" x14ac:dyDescent="0.2">
      <c r="A144" s="54" t="s">
        <v>256</v>
      </c>
      <c r="B144" s="54">
        <f t="shared" si="32"/>
        <v>353.07161280000003</v>
      </c>
      <c r="C144" s="54">
        <f t="shared" si="33"/>
        <v>527.57827200000008</v>
      </c>
      <c r="D144" s="54">
        <f>B144*'Coûts &amp; variables'!$B$10</f>
        <v>14122.864512</v>
      </c>
      <c r="E144" s="54">
        <f>C144*'Coûts &amp; variables'!$B$11</f>
        <v>36930.479040000006</v>
      </c>
      <c r="F144" s="54">
        <f t="shared" si="28"/>
        <v>51053.343552000006</v>
      </c>
      <c r="G144" s="53"/>
      <c r="H144" s="53"/>
      <c r="I144" s="53"/>
      <c r="J144" s="53"/>
      <c r="K144" s="53"/>
      <c r="L144" s="8"/>
      <c r="M144" s="8"/>
      <c r="N144" s="8"/>
    </row>
    <row r="145" spans="1:14" ht="16" x14ac:dyDescent="0.2">
      <c r="A145" s="54" t="s">
        <v>257</v>
      </c>
      <c r="B145" s="54">
        <f t="shared" si="32"/>
        <v>294.7161888</v>
      </c>
      <c r="C145" s="54">
        <f t="shared" si="33"/>
        <v>440.38051200000001</v>
      </c>
      <c r="D145" s="54">
        <f>B145*'Coûts &amp; variables'!$B$10</f>
        <v>11788.647552</v>
      </c>
      <c r="E145" s="54">
        <f>C145*'Coûts &amp; variables'!$B$11</f>
        <v>30826.635839999999</v>
      </c>
      <c r="F145" s="54">
        <f t="shared" si="28"/>
        <v>42615.283391999998</v>
      </c>
      <c r="G145" s="53"/>
      <c r="H145" s="53"/>
      <c r="I145" s="53"/>
      <c r="J145" s="53"/>
      <c r="K145" s="53"/>
      <c r="L145" s="8"/>
      <c r="M145" s="8"/>
      <c r="N145" s="8"/>
    </row>
    <row r="146" spans="1:14" ht="16" x14ac:dyDescent="0.2">
      <c r="A146" s="54" t="s">
        <v>258</v>
      </c>
      <c r="B146" s="54">
        <f t="shared" si="32"/>
        <v>263.6163684</v>
      </c>
      <c r="C146" s="54">
        <f t="shared" si="33"/>
        <v>393.909516</v>
      </c>
      <c r="D146" s="54">
        <f>B146*'Coûts &amp; variables'!$B$10</f>
        <v>10544.654736</v>
      </c>
      <c r="E146" s="54">
        <f>C146*'Coûts &amp; variables'!$B$11</f>
        <v>27573.666119999998</v>
      </c>
      <c r="F146" s="54">
        <f t="shared" si="28"/>
        <v>38118.320855999998</v>
      </c>
      <c r="G146" s="53"/>
      <c r="H146" s="53"/>
      <c r="I146" s="53"/>
      <c r="J146" s="53"/>
      <c r="K146" s="53"/>
      <c r="L146" s="8"/>
      <c r="M146" s="8"/>
      <c r="N146" s="8"/>
    </row>
    <row r="147" spans="1:14" ht="16" x14ac:dyDescent="0.2">
      <c r="A147" s="54" t="s">
        <v>259</v>
      </c>
      <c r="B147" s="54">
        <f t="shared" si="32"/>
        <v>360.30747240000005</v>
      </c>
      <c r="C147" s="54">
        <f t="shared" si="33"/>
        <v>538.39047600000004</v>
      </c>
      <c r="D147" s="54">
        <f>B147*'Coûts &amp; variables'!$B$10</f>
        <v>14412.298896000002</v>
      </c>
      <c r="E147" s="54">
        <f>C147*'Coûts &amp; variables'!$B$11</f>
        <v>37687.333320000005</v>
      </c>
      <c r="F147" s="54">
        <f t="shared" si="28"/>
        <v>52099.632216000005</v>
      </c>
      <c r="G147" s="53"/>
      <c r="H147" s="53"/>
      <c r="I147" s="53"/>
      <c r="J147" s="53"/>
      <c r="K147" s="53"/>
      <c r="L147" s="8"/>
      <c r="M147" s="8"/>
      <c r="N147" s="8"/>
    </row>
    <row r="148" spans="1:14" ht="16" x14ac:dyDescent="0.2">
      <c r="A148" s="54" t="s">
        <v>260</v>
      </c>
      <c r="B148" s="54">
        <f t="shared" si="32"/>
        <v>385.84861920000003</v>
      </c>
      <c r="C148" s="54">
        <f t="shared" si="33"/>
        <v>576.55540800000006</v>
      </c>
      <c r="D148" s="54">
        <f>B148*'Coûts &amp; variables'!$B$10</f>
        <v>15433.944768000001</v>
      </c>
      <c r="E148" s="54">
        <f>C148*'Coûts &amp; variables'!$B$11</f>
        <v>40358.878560000005</v>
      </c>
      <c r="F148" s="54">
        <f t="shared" si="28"/>
        <v>55792.823328000006</v>
      </c>
      <c r="G148" s="53"/>
      <c r="H148" s="53"/>
      <c r="I148" s="53"/>
      <c r="J148" s="53"/>
      <c r="K148" s="53"/>
      <c r="L148" s="8"/>
      <c r="M148" s="8"/>
      <c r="N148" s="8"/>
    </row>
    <row r="149" spans="1:14" ht="16" x14ac:dyDescent="0.2">
      <c r="A149" s="54" t="s">
        <v>261</v>
      </c>
      <c r="B149" s="54">
        <f t="shared" si="32"/>
        <v>339.68607120000001</v>
      </c>
      <c r="C149" s="54">
        <f t="shared" si="33"/>
        <v>507.57688800000005</v>
      </c>
      <c r="D149" s="54">
        <f>B149*'Coûts &amp; variables'!$B$10</f>
        <v>13587.442848000001</v>
      </c>
      <c r="E149" s="54">
        <f>C149*'Coûts &amp; variables'!$B$11</f>
        <v>35530.382160000001</v>
      </c>
      <c r="F149" s="54">
        <f t="shared" si="28"/>
        <v>49117.825008</v>
      </c>
      <c r="G149" s="53"/>
      <c r="H149" s="53"/>
      <c r="I149" s="53"/>
      <c r="J149" s="53"/>
      <c r="K149" s="53"/>
      <c r="L149" s="8"/>
      <c r="M149" s="8"/>
      <c r="N149" s="8"/>
    </row>
    <row r="150" spans="1:14" ht="16" x14ac:dyDescent="0.2">
      <c r="A150" s="54" t="s">
        <v>227</v>
      </c>
      <c r="B150" s="54">
        <f t="shared" si="32"/>
        <v>439.79543999999993</v>
      </c>
      <c r="C150" s="54">
        <f t="shared" si="33"/>
        <v>657.16559999999993</v>
      </c>
      <c r="D150" s="54">
        <f>B150*'Coûts &amp; variables'!$B$10</f>
        <v>17591.817599999998</v>
      </c>
      <c r="E150" s="54">
        <f>C150*'Coûts &amp; variables'!$B$11</f>
        <v>46001.591999999997</v>
      </c>
      <c r="F150" s="54">
        <f t="shared" si="28"/>
        <v>63593.409599999999</v>
      </c>
      <c r="G150" s="53"/>
      <c r="H150" s="53"/>
      <c r="I150" s="53"/>
      <c r="J150" s="53"/>
      <c r="K150" s="53"/>
      <c r="L150" s="8"/>
      <c r="M150" s="8"/>
      <c r="N150" s="8"/>
    </row>
    <row r="151" spans="1:14" ht="16" x14ac:dyDescent="0.2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8"/>
      <c r="M151" s="8"/>
      <c r="N151" s="8"/>
    </row>
    <row r="152" spans="1:14" ht="16" x14ac:dyDescent="0.2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</row>
    <row r="153" spans="1:14" ht="16" x14ac:dyDescent="0.2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</row>
    <row r="154" spans="1:14" ht="16" x14ac:dyDescent="0.2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</row>
    <row r="155" spans="1:14" ht="16" x14ac:dyDescent="0.2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61"/>
    </row>
    <row r="156" spans="1:14" ht="16" x14ac:dyDescent="0.2">
      <c r="A156" s="61"/>
      <c r="B156" s="61"/>
      <c r="C156" s="61"/>
      <c r="D156" s="61"/>
      <c r="E156" s="61"/>
      <c r="F156" s="61"/>
      <c r="G156" s="61"/>
      <c r="H156" s="61"/>
      <c r="I156" s="61"/>
      <c r="J156" s="61"/>
      <c r="K156" s="61"/>
    </row>
    <row r="157" spans="1:14" ht="19" x14ac:dyDescent="0.25">
      <c r="A157" s="126" t="s">
        <v>358</v>
      </c>
      <c r="B157" s="127"/>
      <c r="C157" s="61"/>
      <c r="D157" s="61"/>
      <c r="E157" s="61"/>
      <c r="F157" s="61"/>
      <c r="G157" s="61"/>
      <c r="H157" s="61"/>
      <c r="I157" s="61"/>
      <c r="J157" s="61"/>
      <c r="K157" s="61"/>
    </row>
    <row r="158" spans="1:14" ht="16" x14ac:dyDescent="0.2">
      <c r="A158" s="11" t="s">
        <v>127</v>
      </c>
      <c r="B158" s="62" t="s">
        <v>359</v>
      </c>
      <c r="C158" s="61"/>
      <c r="D158" s="61"/>
      <c r="E158" s="61"/>
      <c r="F158" s="61"/>
      <c r="G158" s="61"/>
      <c r="H158" s="61"/>
      <c r="I158" s="61"/>
      <c r="J158" s="61"/>
      <c r="K158" s="61"/>
    </row>
    <row r="159" spans="1:14" ht="16" x14ac:dyDescent="0.2">
      <c r="A159" s="57" t="s">
        <v>218</v>
      </c>
      <c r="B159" s="54">
        <f>SUM(F71:F82)</f>
        <v>222096.44057194982</v>
      </c>
      <c r="C159" s="61"/>
      <c r="D159" s="61"/>
      <c r="E159" s="61"/>
      <c r="F159" s="61"/>
      <c r="G159" s="61"/>
      <c r="H159" s="61"/>
      <c r="I159" s="61"/>
      <c r="J159" s="61"/>
      <c r="K159" s="61"/>
    </row>
    <row r="160" spans="1:14" ht="16" x14ac:dyDescent="0.2">
      <c r="A160" s="57" t="s">
        <v>219</v>
      </c>
      <c r="B160" s="54">
        <f>SUM(F127:F138)</f>
        <v>411629.76057599997</v>
      </c>
      <c r="C160" s="61"/>
      <c r="D160" s="61"/>
      <c r="E160" s="61"/>
      <c r="F160" s="61"/>
      <c r="G160" s="61"/>
      <c r="H160" s="61"/>
      <c r="I160" s="61"/>
      <c r="J160" s="61"/>
      <c r="K160" s="61"/>
    </row>
    <row r="161" spans="1:11" ht="16" x14ac:dyDescent="0.2">
      <c r="A161" s="57" t="s">
        <v>220</v>
      </c>
      <c r="B161" s="54">
        <f>SUM(F139:F150)</f>
        <v>575264.75140800001</v>
      </c>
      <c r="C161" s="53"/>
      <c r="D161" s="53"/>
      <c r="E161" s="61"/>
      <c r="F161" s="61"/>
      <c r="G161" s="61"/>
      <c r="H161" s="61"/>
      <c r="I161" s="61"/>
      <c r="J161" s="61"/>
      <c r="K161" s="61"/>
    </row>
    <row r="162" spans="1:11" ht="16" x14ac:dyDescent="0.2">
      <c r="A162" s="58"/>
      <c r="B162" s="53"/>
      <c r="C162" s="53"/>
      <c r="D162" s="53"/>
      <c r="E162" s="61"/>
      <c r="F162" s="61"/>
      <c r="G162" s="61"/>
      <c r="H162" s="61"/>
      <c r="I162" s="61"/>
      <c r="J162" s="61"/>
      <c r="K162" s="61"/>
    </row>
    <row r="163" spans="1:11" ht="16" x14ac:dyDescent="0.2">
      <c r="A163" s="58"/>
      <c r="B163" s="53"/>
      <c r="C163" s="53"/>
      <c r="D163" s="53"/>
      <c r="E163" s="61"/>
      <c r="F163" s="61"/>
      <c r="G163" s="61"/>
      <c r="H163" s="61"/>
      <c r="I163" s="61"/>
      <c r="J163" s="61"/>
      <c r="K163" s="61"/>
    </row>
    <row r="164" spans="1:11" ht="16" x14ac:dyDescent="0.2">
      <c r="A164" s="58"/>
      <c r="B164" s="53"/>
      <c r="C164" s="53"/>
      <c r="D164" s="53"/>
      <c r="E164" s="61"/>
      <c r="F164" s="61"/>
      <c r="G164" s="61"/>
      <c r="H164" s="61"/>
      <c r="I164" s="61"/>
      <c r="J164" s="61"/>
      <c r="K164" s="61"/>
    </row>
    <row r="165" spans="1:11" ht="16" x14ac:dyDescent="0.2">
      <c r="A165" s="58"/>
      <c r="B165" s="53"/>
      <c r="C165" s="53"/>
      <c r="D165" s="53"/>
      <c r="E165" s="61"/>
      <c r="F165" s="61"/>
      <c r="G165" s="61"/>
      <c r="H165" s="61"/>
      <c r="I165" s="61"/>
      <c r="J165" s="61"/>
      <c r="K165" s="61"/>
    </row>
    <row r="166" spans="1:11" ht="16" x14ac:dyDescent="0.2">
      <c r="A166" s="58"/>
      <c r="B166" s="53"/>
      <c r="C166" s="53"/>
      <c r="D166" s="53"/>
      <c r="E166" s="61"/>
      <c r="F166" s="61"/>
      <c r="G166" s="61"/>
      <c r="H166" s="61"/>
      <c r="I166" s="61"/>
      <c r="J166" s="61"/>
      <c r="K166" s="61"/>
    </row>
    <row r="167" spans="1:11" ht="16" x14ac:dyDescent="0.2">
      <c r="A167" s="58"/>
      <c r="B167" s="53"/>
      <c r="C167" s="53"/>
      <c r="D167" s="53"/>
      <c r="E167" s="61"/>
      <c r="F167" s="61"/>
      <c r="G167" s="61"/>
      <c r="H167" s="61"/>
      <c r="I167" s="61"/>
      <c r="J167" s="61"/>
      <c r="K167" s="61"/>
    </row>
    <row r="168" spans="1:11" x14ac:dyDescent="0.2">
      <c r="A168" s="32"/>
      <c r="B168" s="8"/>
      <c r="C168" s="8"/>
      <c r="D168" s="8"/>
    </row>
    <row r="169" spans="1:11" x14ac:dyDescent="0.2">
      <c r="A169" s="32"/>
      <c r="B169" s="8"/>
      <c r="C169" s="8"/>
      <c r="D169" s="8"/>
    </row>
    <row r="170" spans="1:11" x14ac:dyDescent="0.2">
      <c r="A170" s="32"/>
      <c r="B170" s="8"/>
      <c r="C170" s="8"/>
      <c r="D170" s="8"/>
    </row>
    <row r="171" spans="1:11" x14ac:dyDescent="0.2">
      <c r="A171" s="32"/>
      <c r="B171" s="8"/>
      <c r="C171" s="8"/>
      <c r="D171" s="8"/>
    </row>
    <row r="172" spans="1:11" x14ac:dyDescent="0.2">
      <c r="A172" s="8"/>
      <c r="B172" s="8"/>
      <c r="C172" s="8"/>
      <c r="D172" s="8"/>
    </row>
    <row r="173" spans="1:11" x14ac:dyDescent="0.2">
      <c r="A173" s="8"/>
      <c r="B173" s="8"/>
      <c r="C173" s="8"/>
      <c r="D173" s="8"/>
    </row>
    <row r="174" spans="1:11" x14ac:dyDescent="0.2">
      <c r="A174" s="8"/>
      <c r="B174" s="8"/>
      <c r="C174" s="8"/>
      <c r="D174" s="8"/>
    </row>
  </sheetData>
  <mergeCells count="10">
    <mergeCell ref="I70:L70"/>
    <mergeCell ref="A67:B67"/>
    <mergeCell ref="A69:F69"/>
    <mergeCell ref="A113:F113"/>
    <mergeCell ref="A157:B157"/>
    <mergeCell ref="A3:B3"/>
    <mergeCell ref="A33:B33"/>
    <mergeCell ref="A49:B49"/>
    <mergeCell ref="A51:G51"/>
    <mergeCell ref="A17:D17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E018B-84F8-A24B-BEF6-D137CAE3AD58}">
  <dimension ref="A2:T228"/>
  <sheetViews>
    <sheetView topLeftCell="A65" zoomScale="50" zoomScaleNormal="49" workbookViewId="0">
      <selection activeCell="F94" sqref="F94"/>
    </sheetView>
  </sheetViews>
  <sheetFormatPr baseColWidth="10" defaultRowHeight="15" x14ac:dyDescent="0.2"/>
  <cols>
    <col min="1" max="1" width="39.6640625" customWidth="1"/>
    <col min="2" max="2" width="34.33203125" customWidth="1"/>
    <col min="3" max="3" width="33.5" customWidth="1"/>
    <col min="4" max="5" width="31.6640625" customWidth="1"/>
    <col min="6" max="13" width="23.1640625" customWidth="1"/>
    <col min="14" max="14" width="19.33203125" customWidth="1"/>
    <col min="16" max="16" width="15.5" customWidth="1"/>
    <col min="17" max="17" width="16.1640625" customWidth="1"/>
  </cols>
  <sheetData>
    <row r="2" spans="1:20" ht="16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8"/>
      <c r="S2" s="8"/>
      <c r="T2" s="8"/>
    </row>
    <row r="3" spans="1:20" ht="16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8"/>
      <c r="S3" s="8"/>
      <c r="T3" s="8"/>
    </row>
    <row r="4" spans="1:20" ht="16" x14ac:dyDescent="0.2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8"/>
      <c r="S4" s="8"/>
      <c r="T4" s="8"/>
    </row>
    <row r="5" spans="1:20" ht="16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8"/>
      <c r="S5" s="8"/>
      <c r="T5" s="8"/>
    </row>
    <row r="6" spans="1:20" ht="19" x14ac:dyDescent="0.25">
      <c r="A6" s="15" t="s">
        <v>105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8"/>
      <c r="S6" s="8"/>
      <c r="T6" s="8"/>
    </row>
    <row r="7" spans="1:20" ht="16" x14ac:dyDescent="0.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8"/>
      <c r="S7" s="8"/>
      <c r="T7" s="8"/>
    </row>
    <row r="8" spans="1:20" ht="19" x14ac:dyDescent="0.25">
      <c r="A8" s="127" t="s">
        <v>106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53"/>
      <c r="N8" s="53"/>
      <c r="O8" s="53"/>
      <c r="P8" s="53"/>
      <c r="Q8" s="53"/>
      <c r="R8" s="8"/>
      <c r="S8" s="8"/>
      <c r="T8" s="8"/>
    </row>
    <row r="9" spans="1:20" ht="16" x14ac:dyDescent="0.2">
      <c r="A9" s="11" t="s">
        <v>107</v>
      </c>
      <c r="B9" s="11" t="s">
        <v>2</v>
      </c>
      <c r="C9" s="11" t="s">
        <v>108</v>
      </c>
      <c r="D9" s="11" t="s">
        <v>109</v>
      </c>
      <c r="E9" s="11" t="s">
        <v>110</v>
      </c>
      <c r="F9" s="11" t="s">
        <v>111</v>
      </c>
      <c r="G9" s="11" t="s">
        <v>273</v>
      </c>
      <c r="H9" s="11" t="s">
        <v>274</v>
      </c>
      <c r="I9" s="11" t="s">
        <v>275</v>
      </c>
      <c r="J9" s="11" t="s">
        <v>276</v>
      </c>
      <c r="K9" s="11" t="s">
        <v>277</v>
      </c>
      <c r="L9" s="11" t="s">
        <v>278</v>
      </c>
      <c r="M9" s="53"/>
      <c r="N9" s="53"/>
      <c r="O9" s="53"/>
      <c r="P9" s="53"/>
      <c r="Q9" s="53"/>
      <c r="R9" s="8"/>
      <c r="S9" s="8"/>
      <c r="T9" s="8"/>
    </row>
    <row r="10" spans="1:20" ht="16" x14ac:dyDescent="0.2">
      <c r="A10" s="54" t="s">
        <v>112</v>
      </c>
      <c r="B10" s="54">
        <v>40</v>
      </c>
      <c r="C10" s="54">
        <v>0.82499999999999996</v>
      </c>
      <c r="D10" s="54">
        <v>0.17499999999999999</v>
      </c>
      <c r="E10" s="54">
        <f>B10*C10</f>
        <v>33</v>
      </c>
      <c r="F10" s="54">
        <f>B10*D10</f>
        <v>7</v>
      </c>
      <c r="G10" s="54">
        <v>0.12</v>
      </c>
      <c r="H10" s="54">
        <v>0.21</v>
      </c>
      <c r="I10" s="54">
        <f>E10/(1+G10)</f>
        <v>29.464285714285712</v>
      </c>
      <c r="J10" s="54">
        <f>F10/(1+H10)</f>
        <v>5.785123966942149</v>
      </c>
      <c r="K10" s="54">
        <f>I10+J10</f>
        <v>35.24940968122786</v>
      </c>
      <c r="L10" s="54">
        <f>B10-K10</f>
        <v>4.7505903187721401</v>
      </c>
      <c r="M10" s="53"/>
      <c r="N10" s="53"/>
      <c r="O10" s="53"/>
      <c r="P10" s="53"/>
      <c r="Q10" s="53"/>
      <c r="R10" s="8"/>
      <c r="S10" s="8"/>
      <c r="T10" s="8"/>
    </row>
    <row r="11" spans="1:20" ht="16" x14ac:dyDescent="0.2">
      <c r="A11" s="54" t="s">
        <v>29</v>
      </c>
      <c r="B11" s="54">
        <v>70</v>
      </c>
      <c r="C11" s="54">
        <v>0.77142857099999995</v>
      </c>
      <c r="D11" s="54">
        <v>0.22857142899999999</v>
      </c>
      <c r="E11" s="54">
        <f>B11*C11</f>
        <v>53.999999969999998</v>
      </c>
      <c r="F11" s="54">
        <f>B11*D11</f>
        <v>16.000000029999999</v>
      </c>
      <c r="G11" s="54">
        <v>0.12</v>
      </c>
      <c r="H11" s="54">
        <v>0.21</v>
      </c>
      <c r="I11" s="54">
        <f>E11/(1+G11)</f>
        <v>48.214285687499995</v>
      </c>
      <c r="J11" s="54">
        <f>F11/(1+H11)</f>
        <v>13.223140520661156</v>
      </c>
      <c r="K11" s="54">
        <f>I11+J11</f>
        <v>61.437426208161149</v>
      </c>
      <c r="L11" s="54">
        <f>B11-K11</f>
        <v>8.5625737918388509</v>
      </c>
      <c r="M11" s="53"/>
      <c r="N11" s="53"/>
      <c r="O11" s="53"/>
      <c r="P11" s="53"/>
      <c r="Q11" s="53"/>
      <c r="R11" s="8"/>
      <c r="S11" s="8"/>
      <c r="T11" s="8"/>
    </row>
    <row r="12" spans="1:20" ht="16" x14ac:dyDescent="0.2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8"/>
      <c r="S12" s="8"/>
      <c r="T12" s="8"/>
    </row>
    <row r="13" spans="1:20" ht="19" x14ac:dyDescent="0.25">
      <c r="A13" s="127" t="s">
        <v>113</v>
      </c>
      <c r="B13" s="127"/>
      <c r="C13" s="127"/>
      <c r="D13" s="127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8"/>
      <c r="S13" s="8"/>
      <c r="T13" s="8"/>
    </row>
    <row r="14" spans="1:20" ht="16" x14ac:dyDescent="0.2">
      <c r="A14" s="11" t="s">
        <v>114</v>
      </c>
      <c r="B14" s="11" t="s">
        <v>115</v>
      </c>
      <c r="C14" s="11" t="s">
        <v>116</v>
      </c>
      <c r="D14" s="11" t="s">
        <v>117</v>
      </c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8"/>
      <c r="S14" s="8"/>
      <c r="T14" s="8"/>
    </row>
    <row r="15" spans="1:20" ht="16" x14ac:dyDescent="0.2">
      <c r="A15" s="54" t="s">
        <v>118</v>
      </c>
      <c r="B15" s="54">
        <f>I10</f>
        <v>29.464285714285712</v>
      </c>
      <c r="C15" s="54">
        <v>0.3</v>
      </c>
      <c r="D15" s="54">
        <f>B15*C15</f>
        <v>8.8392857142857135</v>
      </c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8"/>
      <c r="S15" s="8"/>
      <c r="T15" s="8"/>
    </row>
    <row r="16" spans="1:20" ht="16" x14ac:dyDescent="0.2">
      <c r="A16" s="54" t="s">
        <v>119</v>
      </c>
      <c r="B16" s="54">
        <f>J10</f>
        <v>5.785123966942149</v>
      </c>
      <c r="C16" s="54">
        <v>0.25</v>
      </c>
      <c r="D16" s="54">
        <f>B16*C16</f>
        <v>1.4462809917355373</v>
      </c>
      <c r="E16" s="53"/>
      <c r="F16" s="137"/>
      <c r="G16" s="137"/>
      <c r="H16" s="137"/>
      <c r="I16" s="137"/>
      <c r="J16" s="137"/>
      <c r="K16" s="137"/>
      <c r="L16" s="137"/>
      <c r="M16" s="137"/>
      <c r="N16" s="53"/>
      <c r="O16" s="53"/>
      <c r="P16" s="53"/>
      <c r="Q16" s="53"/>
      <c r="R16" s="8"/>
      <c r="S16" s="8"/>
      <c r="T16" s="8"/>
    </row>
    <row r="17" spans="1:20" ht="16" x14ac:dyDescent="0.2">
      <c r="A17" s="54" t="s">
        <v>120</v>
      </c>
      <c r="B17" s="54">
        <f>I11</f>
        <v>48.214285687499995</v>
      </c>
      <c r="C17" s="54">
        <v>0.3</v>
      </c>
      <c r="D17" s="54">
        <f>B17*C17</f>
        <v>14.464285706249997</v>
      </c>
      <c r="E17" s="53"/>
      <c r="F17" s="13"/>
      <c r="G17" s="13"/>
      <c r="H17" s="13"/>
      <c r="I17" s="13"/>
      <c r="J17" s="13"/>
      <c r="K17" s="13"/>
      <c r="L17" s="13"/>
      <c r="M17" s="13"/>
      <c r="N17" s="53"/>
      <c r="O17" s="53"/>
      <c r="P17" s="53"/>
      <c r="Q17" s="53"/>
      <c r="R17" s="8"/>
      <c r="S17" s="8"/>
      <c r="T17" s="8"/>
    </row>
    <row r="18" spans="1:20" ht="16" x14ac:dyDescent="0.2">
      <c r="A18" s="54" t="s">
        <v>121</v>
      </c>
      <c r="B18" s="54">
        <f>J11</f>
        <v>13.223140520661156</v>
      </c>
      <c r="C18" s="54">
        <v>0.25</v>
      </c>
      <c r="D18" s="54">
        <f>B18*C18</f>
        <v>3.305785130165289</v>
      </c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8"/>
      <c r="S18" s="8"/>
      <c r="T18" s="8"/>
    </row>
    <row r="19" spans="1:20" ht="16" x14ac:dyDescent="0.2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8"/>
      <c r="S19" s="8"/>
      <c r="T19" s="8"/>
    </row>
    <row r="20" spans="1:20" ht="19" x14ac:dyDescent="0.25">
      <c r="A20" s="127" t="s">
        <v>122</v>
      </c>
      <c r="B20" s="127"/>
      <c r="C20" s="127"/>
      <c r="D20" s="127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8"/>
      <c r="S20" s="8"/>
      <c r="T20" s="8"/>
    </row>
    <row r="21" spans="1:20" ht="16" x14ac:dyDescent="0.2">
      <c r="A21" s="11" t="s">
        <v>107</v>
      </c>
      <c r="B21" s="11" t="s">
        <v>272</v>
      </c>
      <c r="C21" s="11" t="s">
        <v>123</v>
      </c>
      <c r="D21" s="11" t="s">
        <v>271</v>
      </c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8"/>
      <c r="S21" s="8"/>
      <c r="T21" s="8"/>
    </row>
    <row r="22" spans="1:20" ht="16" x14ac:dyDescent="0.2">
      <c r="A22" s="54" t="s">
        <v>112</v>
      </c>
      <c r="B22" s="54">
        <f>C22*(1+D22)</f>
        <v>10.594133707201889</v>
      </c>
      <c r="C22" s="54">
        <f>D15+D16</f>
        <v>10.285566706021251</v>
      </c>
      <c r="D22" s="54">
        <v>0.03</v>
      </c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8"/>
      <c r="S22" s="8"/>
      <c r="T22" s="8"/>
    </row>
    <row r="23" spans="1:20" ht="16" x14ac:dyDescent="0.2">
      <c r="A23" s="54" t="s">
        <v>29</v>
      </c>
      <c r="B23" s="54">
        <f>C23*(1+D23)</f>
        <v>18.303172961507745</v>
      </c>
      <c r="C23" s="54">
        <f>D17+D18</f>
        <v>17.770070836415286</v>
      </c>
      <c r="D23" s="54">
        <v>0.03</v>
      </c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8"/>
      <c r="S23" s="8"/>
      <c r="T23" s="8"/>
    </row>
    <row r="24" spans="1:20" ht="16" x14ac:dyDescent="0.2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8"/>
      <c r="S24" s="8"/>
      <c r="T24" s="8"/>
    </row>
    <row r="25" spans="1:20" ht="19" x14ac:dyDescent="0.25">
      <c r="A25" s="127" t="s">
        <v>124</v>
      </c>
      <c r="B25" s="127"/>
      <c r="C25" s="127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8"/>
      <c r="S25" s="8"/>
      <c r="T25" s="8"/>
    </row>
    <row r="26" spans="1:20" ht="16" x14ac:dyDescent="0.2">
      <c r="A26" s="11" t="s">
        <v>107</v>
      </c>
      <c r="B26" s="11" t="s">
        <v>125</v>
      </c>
      <c r="C26" s="11" t="s">
        <v>126</v>
      </c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8"/>
      <c r="S26" s="8"/>
      <c r="T26" s="8"/>
    </row>
    <row r="27" spans="1:20" ht="16" x14ac:dyDescent="0.2">
      <c r="A27" s="54" t="s">
        <v>112</v>
      </c>
      <c r="B27" s="54">
        <f>K10-B22</f>
        <v>24.655275974025969</v>
      </c>
      <c r="C27" s="54">
        <f>1-(B22/K10)</f>
        <v>0.69945216663177723</v>
      </c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8"/>
      <c r="S27" s="8"/>
      <c r="T27" s="8"/>
    </row>
    <row r="28" spans="1:20" ht="16" x14ac:dyDescent="0.2">
      <c r="A28" s="54" t="s">
        <v>29</v>
      </c>
      <c r="B28" s="54">
        <f>K11-B23</f>
        <v>43.134253246653401</v>
      </c>
      <c r="C28" s="54">
        <f>1-(B23/K11)</f>
        <v>0.7020843142176354</v>
      </c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8"/>
      <c r="S28" s="8"/>
      <c r="T28" s="8"/>
    </row>
    <row r="29" spans="1:20" ht="16" x14ac:dyDescent="0.2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8"/>
      <c r="S29" s="8"/>
      <c r="T29" s="8"/>
    </row>
    <row r="30" spans="1:20" ht="16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8"/>
      <c r="S30" s="8"/>
      <c r="T30" s="8"/>
    </row>
    <row r="31" spans="1:20" ht="16" x14ac:dyDescent="0.2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8"/>
      <c r="S31" s="8"/>
      <c r="T31" s="8"/>
    </row>
    <row r="32" spans="1:20" ht="19" x14ac:dyDescent="0.25">
      <c r="A32" s="127" t="s">
        <v>142</v>
      </c>
      <c r="B32" s="127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8"/>
      <c r="S32" s="8"/>
      <c r="T32" s="8"/>
    </row>
    <row r="33" spans="1:20" ht="16" x14ac:dyDescent="0.2">
      <c r="A33" s="54" t="s">
        <v>146</v>
      </c>
      <c r="B33" s="54">
        <f>CA!B7</f>
        <v>35.24940968122786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8"/>
      <c r="S33" s="8"/>
      <c r="T33" s="8"/>
    </row>
    <row r="34" spans="1:20" ht="16" x14ac:dyDescent="0.2">
      <c r="A34" s="54" t="s">
        <v>147</v>
      </c>
      <c r="B34" s="54">
        <f>CA!B8</f>
        <v>61.437426208161149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8"/>
      <c r="S34" s="8"/>
      <c r="T34" s="8"/>
    </row>
    <row r="35" spans="1:20" ht="16" x14ac:dyDescent="0.2">
      <c r="A35" s="54" t="s">
        <v>154</v>
      </c>
      <c r="B35" s="54">
        <f>B33*(1+B39)</f>
        <v>36.306891971664697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8"/>
      <c r="S35" s="8"/>
      <c r="T35" s="8"/>
    </row>
    <row r="36" spans="1:20" ht="16" x14ac:dyDescent="0.2">
      <c r="A36" s="54" t="s">
        <v>155</v>
      </c>
      <c r="B36" s="54">
        <f>B34*(1+B39)</f>
        <v>63.280548994405983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8"/>
      <c r="S36" s="8"/>
      <c r="T36" s="8"/>
    </row>
    <row r="37" spans="1:20" ht="16" x14ac:dyDescent="0.2">
      <c r="A37" s="54" t="s">
        <v>156</v>
      </c>
      <c r="B37" s="54">
        <f>B35*(1+B39)</f>
        <v>37.396098730814636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8"/>
      <c r="S37" s="8"/>
      <c r="T37" s="8"/>
    </row>
    <row r="38" spans="1:20" ht="16" x14ac:dyDescent="0.2">
      <c r="A38" s="54" t="s">
        <v>157</v>
      </c>
      <c r="B38" s="54">
        <f>B36*(1+B39)</f>
        <v>65.178965464238161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8"/>
      <c r="S38" s="8"/>
      <c r="T38" s="8"/>
    </row>
    <row r="39" spans="1:20" ht="16" x14ac:dyDescent="0.2">
      <c r="A39" s="54" t="s">
        <v>167</v>
      </c>
      <c r="B39" s="54">
        <f>CA!B13</f>
        <v>0.03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8"/>
      <c r="S39" s="8"/>
      <c r="T39" s="8"/>
    </row>
    <row r="40" spans="1:20" ht="16" x14ac:dyDescent="0.2">
      <c r="A40" s="54" t="s">
        <v>168</v>
      </c>
      <c r="B40" s="54">
        <v>0.04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8"/>
      <c r="S40" s="8"/>
      <c r="T40" s="8"/>
    </row>
    <row r="41" spans="1:20" ht="16" x14ac:dyDescent="0.2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8"/>
      <c r="S41" s="8"/>
      <c r="T41" s="8"/>
    </row>
    <row r="42" spans="1:20" ht="16" x14ac:dyDescent="0.2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8"/>
      <c r="S42" s="8"/>
      <c r="T42" s="8"/>
    </row>
    <row r="43" spans="1:20" ht="19" x14ac:dyDescent="0.25">
      <c r="A43" s="127" t="s">
        <v>295</v>
      </c>
      <c r="B43" s="127"/>
      <c r="C43" s="127"/>
      <c r="D43" s="127"/>
      <c r="E43" s="53"/>
      <c r="F43" s="53"/>
      <c r="G43" s="53"/>
      <c r="H43" s="127" t="s">
        <v>294</v>
      </c>
      <c r="I43" s="127"/>
      <c r="J43" s="127"/>
      <c r="K43" s="127"/>
      <c r="L43" s="53"/>
      <c r="M43" s="127" t="s">
        <v>269</v>
      </c>
      <c r="N43" s="127"/>
      <c r="O43" s="53"/>
      <c r="P43" s="127" t="s">
        <v>173</v>
      </c>
      <c r="Q43" s="127"/>
      <c r="R43" s="8"/>
      <c r="S43" s="8"/>
      <c r="T43" s="8"/>
    </row>
    <row r="44" spans="1:20" ht="16" x14ac:dyDescent="0.2">
      <c r="A44" s="57" t="s">
        <v>0</v>
      </c>
      <c r="B44" s="11" t="s">
        <v>169</v>
      </c>
      <c r="C44" s="11" t="s">
        <v>170</v>
      </c>
      <c r="D44" s="11" t="s">
        <v>171</v>
      </c>
      <c r="E44" s="53"/>
      <c r="F44" s="53"/>
      <c r="G44" s="53"/>
      <c r="H44" s="57" t="s">
        <v>4</v>
      </c>
      <c r="I44" s="11" t="s">
        <v>169</v>
      </c>
      <c r="J44" s="11" t="s">
        <v>170</v>
      </c>
      <c r="K44" s="11" t="s">
        <v>171</v>
      </c>
      <c r="L44" s="53"/>
      <c r="M44" s="57" t="s">
        <v>4</v>
      </c>
      <c r="N44" s="11" t="s">
        <v>172</v>
      </c>
      <c r="O44" s="53"/>
      <c r="P44" s="57" t="s">
        <v>4</v>
      </c>
      <c r="Q44" s="11" t="s">
        <v>173</v>
      </c>
      <c r="R44" s="8"/>
      <c r="S44" s="8"/>
      <c r="T44" s="8"/>
    </row>
    <row r="45" spans="1:20" ht="16" x14ac:dyDescent="0.2">
      <c r="A45" s="60" t="s">
        <v>149</v>
      </c>
      <c r="B45" s="54">
        <f>SUM(I45:I47)</f>
        <v>3168.6179266561994</v>
      </c>
      <c r="C45" s="54">
        <f>SUM(J45:J47)</f>
        <v>8895.7828729103694</v>
      </c>
      <c r="D45" s="54">
        <f>B45+C45</f>
        <v>12064.400799566569</v>
      </c>
      <c r="E45" s="53"/>
      <c r="F45" s="53"/>
      <c r="G45" s="53"/>
      <c r="H45" s="54" t="s">
        <v>226</v>
      </c>
      <c r="I45" s="54" cm="1">
        <f t="array" ref="I45:I56">B22*CA!B71:B82</f>
        <v>912.89226389610405</v>
      </c>
      <c r="J45" s="54" cm="1">
        <f t="array" ref="J45:J56">B23*CA!C71:'CA'!C82</f>
        <v>2562.9127758388986</v>
      </c>
      <c r="K45" s="54">
        <f>I45+J45</f>
        <v>3475.8050397350025</v>
      </c>
      <c r="L45" s="53"/>
      <c r="M45" s="54" t="s">
        <v>226</v>
      </c>
      <c r="N45" s="54">
        <f>CA!F71-'Coûts &amp; variables'!K45</f>
        <v>8164.4349599860207</v>
      </c>
      <c r="O45" s="53"/>
      <c r="P45" s="54" t="s">
        <v>226</v>
      </c>
      <c r="Q45" s="54">
        <f>N45/CA!F71</f>
        <v>0.70139747635630312</v>
      </c>
      <c r="R45" s="8"/>
      <c r="S45" s="8"/>
      <c r="T45" s="8"/>
    </row>
    <row r="46" spans="1:20" ht="16" x14ac:dyDescent="0.2">
      <c r="A46" s="60" t="s">
        <v>150</v>
      </c>
      <c r="B46" s="54">
        <f>SUM(I48:I50)</f>
        <v>4385.6692948413229</v>
      </c>
      <c r="C46" s="54">
        <f>SUM(J48:J50)</f>
        <v>12312.611587244683</v>
      </c>
      <c r="D46" s="54">
        <f t="shared" ref="D46:D56" si="0">B46+C46</f>
        <v>16698.280882086005</v>
      </c>
      <c r="E46" s="53"/>
      <c r="F46" s="53"/>
      <c r="G46" s="53"/>
      <c r="H46" s="54" t="s">
        <v>228</v>
      </c>
      <c r="I46" s="54">
        <v>1032.2944225034241</v>
      </c>
      <c r="J46" s="54">
        <v>2898.1301173151005</v>
      </c>
      <c r="K46" s="54">
        <f t="shared" ref="K46:K80" si="1">I46+J46</f>
        <v>3930.4245398185249</v>
      </c>
      <c r="L46" s="53"/>
      <c r="M46" s="54" t="s">
        <v>228</v>
      </c>
      <c r="N46" s="54">
        <f>CA!F72-'Coûts &amp; variables'!K46</f>
        <v>9232.3059416841916</v>
      </c>
      <c r="O46" s="53"/>
      <c r="P46" s="54" t="s">
        <v>228</v>
      </c>
      <c r="Q46" s="54">
        <f>N46/CA!F72</f>
        <v>0.70139747635630312</v>
      </c>
      <c r="R46" s="8"/>
      <c r="S46" s="8"/>
      <c r="T46" s="8"/>
    </row>
    <row r="47" spans="1:20" ht="16" x14ac:dyDescent="0.2">
      <c r="A47" s="60" t="s">
        <v>151</v>
      </c>
      <c r="B47" s="54">
        <f>SUM(I51:I53)</f>
        <v>4181.1503064014169</v>
      </c>
      <c r="C47" s="54">
        <f>SUM(J51:J53)</f>
        <v>11738.431753430319</v>
      </c>
      <c r="D47" s="54">
        <f t="shared" si="0"/>
        <v>15919.582059831737</v>
      </c>
      <c r="E47" s="53"/>
      <c r="F47" s="53"/>
      <c r="G47" s="53"/>
      <c r="H47" s="54" t="s">
        <v>229</v>
      </c>
      <c r="I47" s="54">
        <v>1223.4312402566709</v>
      </c>
      <c r="J47" s="54">
        <v>3434.7399797563703</v>
      </c>
      <c r="K47" s="54">
        <f t="shared" si="1"/>
        <v>4658.1712200130414</v>
      </c>
      <c r="L47" s="53"/>
      <c r="M47" s="54" t="s">
        <v>229</v>
      </c>
      <c r="N47" s="54">
        <f>CA!F73-'Coûts &amp; variables'!K47</f>
        <v>10941.734511431267</v>
      </c>
      <c r="O47" s="53"/>
      <c r="P47" s="54" t="s">
        <v>229</v>
      </c>
      <c r="Q47" s="54">
        <f>N47/CA!F73</f>
        <v>0.70139747635630312</v>
      </c>
      <c r="R47" s="8"/>
      <c r="S47" s="8"/>
      <c r="T47" s="8"/>
    </row>
    <row r="48" spans="1:20" ht="16" x14ac:dyDescent="0.2">
      <c r="A48" s="60" t="s">
        <v>152</v>
      </c>
      <c r="B48" s="54">
        <f>SUM(I54:I56)</f>
        <v>5682.5987361173557</v>
      </c>
      <c r="C48" s="54">
        <f>SUM(J54:J56)</f>
        <v>15953.6951694649</v>
      </c>
      <c r="D48" s="54">
        <f t="shared" si="0"/>
        <v>21636.293905582257</v>
      </c>
      <c r="E48" s="53"/>
      <c r="F48" s="53"/>
      <c r="G48" s="53"/>
      <c r="H48" s="54" t="s">
        <v>230</v>
      </c>
      <c r="I48" s="54">
        <v>1361.2468507778044</v>
      </c>
      <c r="J48" s="54">
        <v>3821.6524368815944</v>
      </c>
      <c r="K48" s="54">
        <f t="shared" si="1"/>
        <v>5182.8992876593984</v>
      </c>
      <c r="L48" s="53"/>
      <c r="M48" s="54" t="s">
        <v>230</v>
      </c>
      <c r="N48" s="54">
        <f>CA!F74-'Coûts &amp; variables'!K48</f>
        <v>12174.285857379153</v>
      </c>
      <c r="O48" s="53"/>
      <c r="P48" s="54" t="s">
        <v>230</v>
      </c>
      <c r="Q48" s="54">
        <f>N48/CA!F74</f>
        <v>0.70139747635630312</v>
      </c>
      <c r="R48" s="8"/>
      <c r="S48" s="8"/>
      <c r="T48" s="8"/>
    </row>
    <row r="49" spans="1:20" ht="16" x14ac:dyDescent="0.2">
      <c r="A49" s="60" t="s">
        <v>158</v>
      </c>
      <c r="B49" s="54">
        <f>SUM(I57:I59)</f>
        <v>5527.8915377027542</v>
      </c>
      <c r="C49" s="54">
        <f>SUM(J57:J59)</f>
        <v>14958.419446897389</v>
      </c>
      <c r="D49" s="54">
        <f t="shared" si="0"/>
        <v>20486.310984600143</v>
      </c>
      <c r="E49" s="53"/>
      <c r="F49" s="53"/>
      <c r="G49" s="53"/>
      <c r="H49" s="54" t="s">
        <v>231</v>
      </c>
      <c r="I49" s="54">
        <v>1506.3241043072019</v>
      </c>
      <c r="J49" s="54">
        <v>4228.9517001782642</v>
      </c>
      <c r="K49" s="54">
        <f t="shared" si="1"/>
        <v>5735.2758044854663</v>
      </c>
      <c r="L49" s="53"/>
      <c r="M49" s="54" t="s">
        <v>231</v>
      </c>
      <c r="N49" s="54">
        <f>CA!F75-'Coûts &amp; variables'!K49</f>
        <v>13471.781572326927</v>
      </c>
      <c r="O49" s="53"/>
      <c r="P49" s="54" t="s">
        <v>231</v>
      </c>
      <c r="Q49" s="54">
        <f>N49/CA!F75</f>
        <v>0.70139747635630301</v>
      </c>
      <c r="R49" s="8"/>
      <c r="S49" s="8"/>
      <c r="T49" s="8"/>
    </row>
    <row r="50" spans="1:20" ht="16" x14ac:dyDescent="0.2">
      <c r="A50" s="60" t="s">
        <v>159</v>
      </c>
      <c r="B50" s="54">
        <f>SUM(I60:I62)</f>
        <v>7103.8135990089168</v>
      </c>
      <c r="C50" s="54">
        <f>SUM(J60:J62)</f>
        <v>19222.84884965538</v>
      </c>
      <c r="D50" s="54">
        <f t="shared" si="0"/>
        <v>26326.662448664298</v>
      </c>
      <c r="E50" s="53"/>
      <c r="F50" s="53"/>
      <c r="G50" s="53"/>
      <c r="H50" s="54" t="s">
        <v>232</v>
      </c>
      <c r="I50" s="54">
        <v>1518.0983397563166</v>
      </c>
      <c r="J50" s="54">
        <v>4262.0074501848239</v>
      </c>
      <c r="K50" s="54">
        <f t="shared" si="1"/>
        <v>5780.1057899411408</v>
      </c>
      <c r="L50" s="53"/>
      <c r="M50" s="54" t="s">
        <v>232</v>
      </c>
      <c r="N50" s="54">
        <f>CA!F76-'Coûts &amp; variables'!K50</f>
        <v>13577.08422777675</v>
      </c>
      <c r="O50" s="53"/>
      <c r="P50" s="54" t="s">
        <v>232</v>
      </c>
      <c r="Q50" s="54">
        <f>N50/CA!F76</f>
        <v>0.70139747635630301</v>
      </c>
      <c r="R50" s="8"/>
      <c r="S50" s="8"/>
      <c r="T50" s="8"/>
    </row>
    <row r="51" spans="1:20" ht="16" x14ac:dyDescent="0.2">
      <c r="A51" s="60" t="s">
        <v>160</v>
      </c>
      <c r="B51" s="54">
        <f>SUM(I63:I65)</f>
        <v>6373.8534714016378</v>
      </c>
      <c r="C51" s="54">
        <f>SUM(J63:J65)</f>
        <v>17247.584014267875</v>
      </c>
      <c r="D51" s="54">
        <f t="shared" si="0"/>
        <v>23621.437485669514</v>
      </c>
      <c r="E51" s="53"/>
      <c r="F51" s="53"/>
      <c r="G51" s="53"/>
      <c r="H51" s="54" t="s">
        <v>233</v>
      </c>
      <c r="I51" s="54">
        <v>1305.4359373714285</v>
      </c>
      <c r="J51" s="54">
        <v>3664.9652694496253</v>
      </c>
      <c r="K51" s="54">
        <f t="shared" si="1"/>
        <v>4970.4012068210541</v>
      </c>
      <c r="L51" s="53"/>
      <c r="M51" s="54" t="s">
        <v>233</v>
      </c>
      <c r="N51" s="54">
        <f>CA!F77-'Coûts &amp; variables'!K51</f>
        <v>11675.141992780005</v>
      </c>
      <c r="O51" s="53"/>
      <c r="P51" s="54" t="s">
        <v>233</v>
      </c>
      <c r="Q51" s="54">
        <f>N51/CA!F77</f>
        <v>0.70139747635630312</v>
      </c>
      <c r="R51" s="8"/>
      <c r="S51" s="8"/>
      <c r="T51" s="8"/>
    </row>
    <row r="52" spans="1:20" ht="16" x14ac:dyDescent="0.2">
      <c r="A52" s="60" t="s">
        <v>161</v>
      </c>
      <c r="B52" s="54">
        <f>SUM(I66:I68)</f>
        <v>8271.9412086791053</v>
      </c>
      <c r="C52" s="54">
        <f>SUM(J66:J68)</f>
        <v>22383.790527648176</v>
      </c>
      <c r="D52" s="54">
        <f t="shared" si="0"/>
        <v>30655.731736327281</v>
      </c>
      <c r="E52" s="53"/>
      <c r="F52" s="53"/>
      <c r="G52" s="53"/>
      <c r="H52" s="54" t="s">
        <v>234</v>
      </c>
      <c r="I52" s="54">
        <v>1198.1710963636365</v>
      </c>
      <c r="J52" s="54">
        <v>3363.823018288555</v>
      </c>
      <c r="K52" s="54">
        <f t="shared" si="1"/>
        <v>4561.9941146521915</v>
      </c>
      <c r="L52" s="53"/>
      <c r="M52" s="54" t="s">
        <v>234</v>
      </c>
      <c r="N52" s="54">
        <f>CA!F78-'Coûts &amp; variables'!K52</f>
        <v>10715.820884981651</v>
      </c>
      <c r="O52" s="53"/>
      <c r="P52" s="54" t="s">
        <v>234</v>
      </c>
      <c r="Q52" s="54">
        <f>N52/CA!F78</f>
        <v>0.70139747635630312</v>
      </c>
      <c r="R52" s="8"/>
      <c r="S52" s="8"/>
      <c r="T52" s="8"/>
    </row>
    <row r="53" spans="1:20" ht="16" x14ac:dyDescent="0.2">
      <c r="A53" s="60" t="s">
        <v>162</v>
      </c>
      <c r="B53" s="54">
        <f>SUM(I69:I71)</f>
        <v>8214.3163156867631</v>
      </c>
      <c r="C53" s="54">
        <f>SUM(J69:J71)</f>
        <v>21205.887651869798</v>
      </c>
      <c r="D53" s="54">
        <f t="shared" si="0"/>
        <v>29420.203967556561</v>
      </c>
      <c r="E53" s="53"/>
      <c r="F53" s="53"/>
      <c r="G53" s="53"/>
      <c r="H53" s="54" t="s">
        <v>235</v>
      </c>
      <c r="I53" s="54">
        <v>1677.5432726663521</v>
      </c>
      <c r="J53" s="54">
        <v>4709.6434656921401</v>
      </c>
      <c r="K53" s="54">
        <f t="shared" si="1"/>
        <v>6387.1867383584922</v>
      </c>
      <c r="L53" s="53"/>
      <c r="M53" s="54" t="s">
        <v>235</v>
      </c>
      <c r="N53" s="54">
        <f>CA!F79-'Coûts &amp; variables'!K53</f>
        <v>15003.077015674307</v>
      </c>
      <c r="O53" s="53"/>
      <c r="P53" s="54" t="s">
        <v>235</v>
      </c>
      <c r="Q53" s="54">
        <f>N53/CA!F79</f>
        <v>0.70139747635630312</v>
      </c>
      <c r="R53" s="8"/>
      <c r="S53" s="8"/>
      <c r="T53" s="8"/>
    </row>
    <row r="54" spans="1:20" ht="16" x14ac:dyDescent="0.2">
      <c r="A54" s="60" t="s">
        <v>163</v>
      </c>
      <c r="B54" s="54">
        <f>SUM(I72:I74)</f>
        <v>10236.909813991129</v>
      </c>
      <c r="C54" s="54">
        <f>SUM(J72:J74)</f>
        <v>26427.36791171036</v>
      </c>
      <c r="D54" s="54">
        <f t="shared" si="0"/>
        <v>36664.27772570149</v>
      </c>
      <c r="E54" s="53"/>
      <c r="F54" s="53"/>
      <c r="G54" s="53"/>
      <c r="H54" s="54" t="s">
        <v>236</v>
      </c>
      <c r="I54" s="54">
        <v>1843.0049954975211</v>
      </c>
      <c r="J54" s="54">
        <v>5174.1714063129411</v>
      </c>
      <c r="K54" s="54">
        <f t="shared" si="1"/>
        <v>7017.1764018104623</v>
      </c>
      <c r="L54" s="53"/>
      <c r="M54" s="54" t="s">
        <v>236</v>
      </c>
      <c r="N54" s="54">
        <f>CA!F80-'Coûts &amp; variables'!K54</f>
        <v>16482.880852171776</v>
      </c>
      <c r="O54" s="53"/>
      <c r="P54" s="54" t="s">
        <v>236</v>
      </c>
      <c r="Q54" s="54">
        <f>N54/CA!F80</f>
        <v>0.70139747635630312</v>
      </c>
      <c r="R54" s="8"/>
      <c r="S54" s="8"/>
      <c r="T54" s="8"/>
    </row>
    <row r="55" spans="1:20" ht="16" x14ac:dyDescent="0.2">
      <c r="A55" s="60" t="s">
        <v>164</v>
      </c>
      <c r="B55" s="54">
        <f>SUM(I75:I77)</f>
        <v>8947.391073187162</v>
      </c>
      <c r="C55" s="54">
        <f>SUM(J75:J77)</f>
        <v>23098.37636919471</v>
      </c>
      <c r="D55" s="54">
        <f t="shared" si="0"/>
        <v>32045.767442381872</v>
      </c>
      <c r="E55" s="53"/>
      <c r="F55" s="53"/>
      <c r="G55" s="53"/>
      <c r="H55" s="54" t="s">
        <v>237</v>
      </c>
      <c r="I55" s="54">
        <v>1654.5653594330581</v>
      </c>
      <c r="J55" s="54">
        <v>4645.1337861639231</v>
      </c>
      <c r="K55" s="54">
        <f t="shared" si="1"/>
        <v>6299.699145596981</v>
      </c>
      <c r="L55" s="53"/>
      <c r="M55" s="54" t="s">
        <v>237</v>
      </c>
      <c r="N55" s="54">
        <f>CA!F81-'Coûts &amp; variables'!K55</f>
        <v>14797.574476624664</v>
      </c>
      <c r="O55" s="53"/>
      <c r="P55" s="54" t="s">
        <v>237</v>
      </c>
      <c r="Q55" s="54">
        <f>N55/CA!F81</f>
        <v>0.70139747635630312</v>
      </c>
      <c r="R55" s="8"/>
      <c r="S55" s="8"/>
      <c r="T55" s="8"/>
    </row>
    <row r="56" spans="1:20" ht="16" x14ac:dyDescent="0.2">
      <c r="A56" s="60" t="s">
        <v>165</v>
      </c>
      <c r="B56" s="54">
        <f>SUM(I78:I80)</f>
        <v>11350.108932872252</v>
      </c>
      <c r="C56" s="54">
        <f>SUM(J78:J80)</f>
        <v>29301.176825554205</v>
      </c>
      <c r="D56" s="54">
        <f t="shared" si="0"/>
        <v>40651.285758426457</v>
      </c>
      <c r="E56" s="53"/>
      <c r="F56" s="53"/>
      <c r="G56" s="53"/>
      <c r="H56" s="54" t="s">
        <v>238</v>
      </c>
      <c r="I56" s="54">
        <v>2185.0283811867771</v>
      </c>
      <c r="J56" s="54">
        <v>6134.3899769880363</v>
      </c>
      <c r="K56" s="54">
        <f t="shared" si="1"/>
        <v>8319.418358174813</v>
      </c>
      <c r="L56" s="53"/>
      <c r="M56" s="54" t="s">
        <v>238</v>
      </c>
      <c r="N56" s="54">
        <f>CA!F82-'Coûts &amp; variables'!K56</f>
        <v>19541.760632066536</v>
      </c>
      <c r="O56" s="53"/>
      <c r="P56" s="54" t="s">
        <v>238</v>
      </c>
      <c r="Q56" s="54">
        <f>N56/CA!F82</f>
        <v>0.70139747635630323</v>
      </c>
      <c r="R56" s="8"/>
      <c r="S56" s="8"/>
      <c r="T56" s="8"/>
    </row>
    <row r="57" spans="1:20" ht="16" x14ac:dyDescent="0.2">
      <c r="A57" s="53"/>
      <c r="B57" s="53"/>
      <c r="C57" s="53"/>
      <c r="D57" s="53"/>
      <c r="E57" s="53"/>
      <c r="F57" s="53"/>
      <c r="G57" s="53"/>
      <c r="H57" s="54" t="s">
        <v>239</v>
      </c>
      <c r="I57" s="54" cm="1">
        <f t="array" ref="I57:I68">(B22*0.9)*CA!B83:B94*(1+B40)</f>
        <v>1644.4754517059346</v>
      </c>
      <c r="J57" s="54" cm="1">
        <f t="array" ref="J57:J68">(B23*0.9)*CA!C83:'CA'!C94*(1+'Coûts &amp; variables'!B40)</f>
        <v>4449.9341944335638</v>
      </c>
      <c r="K57" s="54">
        <f t="shared" si="1"/>
        <v>6094.4096461394984</v>
      </c>
      <c r="L57" s="53"/>
      <c r="M57" s="54" t="s">
        <v>239</v>
      </c>
      <c r="N57" s="54">
        <f>CA!F83-'Coûts &amp; variables'!K57</f>
        <v>16363.644693636561</v>
      </c>
      <c r="O57" s="53"/>
      <c r="P57" s="54" t="s">
        <v>239</v>
      </c>
      <c r="Q57" s="54">
        <f>N57/CA!F83</f>
        <v>0.7286314498159564</v>
      </c>
      <c r="R57" s="8"/>
      <c r="S57" s="8"/>
      <c r="T57" s="8"/>
    </row>
    <row r="58" spans="1:20" ht="16" x14ac:dyDescent="0.2">
      <c r="A58" s="53"/>
      <c r="B58" s="53"/>
      <c r="C58" s="53"/>
      <c r="D58" s="53"/>
      <c r="E58" s="53"/>
      <c r="F58" s="53"/>
      <c r="G58" s="53"/>
      <c r="H58" s="54" t="s">
        <v>240</v>
      </c>
      <c r="I58" s="54">
        <v>1808.1775228295655</v>
      </c>
      <c r="J58" s="54">
        <v>4892.9103685302653</v>
      </c>
      <c r="K58" s="54">
        <f t="shared" si="1"/>
        <v>6701.0878913598308</v>
      </c>
      <c r="L58" s="53"/>
      <c r="M58" s="54" t="s">
        <v>240</v>
      </c>
      <c r="N58" s="54">
        <f>CA!F84-'Coûts &amp; variables'!K58</f>
        <v>17992.591191257212</v>
      </c>
      <c r="O58" s="53"/>
      <c r="P58" s="54" t="s">
        <v>240</v>
      </c>
      <c r="Q58" s="54">
        <f>N58/CA!F84</f>
        <v>0.7286314498159564</v>
      </c>
      <c r="R58" s="8"/>
      <c r="S58" s="8"/>
      <c r="T58" s="8"/>
    </row>
    <row r="59" spans="1:20" ht="16" x14ac:dyDescent="0.2">
      <c r="A59" s="53"/>
      <c r="B59" s="53"/>
      <c r="C59" s="53"/>
      <c r="D59" s="53"/>
      <c r="E59" s="53"/>
      <c r="F59" s="53"/>
      <c r="G59" s="53"/>
      <c r="H59" s="54" t="s">
        <v>241</v>
      </c>
      <c r="I59" s="54">
        <v>2075.2385631672541</v>
      </c>
      <c r="J59" s="54">
        <v>5615.5748839335592</v>
      </c>
      <c r="K59" s="54">
        <f t="shared" si="1"/>
        <v>7690.8134471008134</v>
      </c>
      <c r="L59" s="53"/>
      <c r="M59" s="54" t="s">
        <v>241</v>
      </c>
      <c r="N59" s="54">
        <f>CA!F85-'Coûts &amp; variables'!K59</f>
        <v>20650.029446760182</v>
      </c>
      <c r="O59" s="53"/>
      <c r="P59" s="54" t="s">
        <v>241</v>
      </c>
      <c r="Q59" s="54">
        <f>N59/CA!F85</f>
        <v>0.7286314498159564</v>
      </c>
      <c r="R59" s="8"/>
      <c r="S59" s="8"/>
      <c r="T59" s="8"/>
    </row>
    <row r="60" spans="1:20" ht="16" customHeight="1" x14ac:dyDescent="0.25">
      <c r="A60" s="127" t="s">
        <v>270</v>
      </c>
      <c r="B60" s="127"/>
      <c r="C60" s="53"/>
      <c r="D60" s="127" t="s">
        <v>173</v>
      </c>
      <c r="E60" s="127"/>
      <c r="F60" s="53"/>
      <c r="G60" s="53"/>
      <c r="H60" s="54" t="s">
        <v>242</v>
      </c>
      <c r="I60" s="54">
        <v>2252.1375397168513</v>
      </c>
      <c r="J60" s="54">
        <v>6094.261752680517</v>
      </c>
      <c r="K60" s="54">
        <f t="shared" si="1"/>
        <v>8346.3992923973674</v>
      </c>
      <c r="L60" s="53"/>
      <c r="M60" s="54" t="s">
        <v>242</v>
      </c>
      <c r="N60" s="54">
        <f>CA!F86-'Coûts &amp; variables'!K60</f>
        <v>22410.294092804401</v>
      </c>
      <c r="O60" s="53"/>
      <c r="P60" s="54" t="s">
        <v>242</v>
      </c>
      <c r="Q60" s="54">
        <f>N60/CA!F86</f>
        <v>0.7286314498159564</v>
      </c>
      <c r="R60" s="8"/>
      <c r="S60" s="8"/>
      <c r="T60" s="8"/>
    </row>
    <row r="61" spans="1:20" ht="16" x14ac:dyDescent="0.2">
      <c r="A61" s="57" t="s">
        <v>0</v>
      </c>
      <c r="B61" s="11" t="s">
        <v>172</v>
      </c>
      <c r="C61" s="53"/>
      <c r="D61" s="57" t="s">
        <v>0</v>
      </c>
      <c r="E61" s="11" t="s">
        <v>173</v>
      </c>
      <c r="F61" s="53"/>
      <c r="G61" s="53"/>
      <c r="H61" s="54" t="s">
        <v>243</v>
      </c>
      <c r="I61" s="54">
        <v>2441.7800928800721</v>
      </c>
      <c r="J61" s="54">
        <v>6607.4326128263865</v>
      </c>
      <c r="K61" s="54">
        <f t="shared" si="1"/>
        <v>9049.212705706459</v>
      </c>
      <c r="L61" s="53"/>
      <c r="M61" s="54" t="s">
        <v>243</v>
      </c>
      <c r="N61" s="54">
        <f>CA!F87-'Coûts &amp; variables'!K61</f>
        <v>24297.365958509552</v>
      </c>
      <c r="O61" s="53"/>
      <c r="P61" s="54" t="s">
        <v>243</v>
      </c>
      <c r="Q61" s="54">
        <f>N61/CA!F87</f>
        <v>0.72863144981595651</v>
      </c>
      <c r="R61" s="8"/>
      <c r="S61" s="8"/>
      <c r="T61" s="8"/>
    </row>
    <row r="62" spans="1:20" ht="16" x14ac:dyDescent="0.2">
      <c r="A62" s="60" t="s">
        <v>149</v>
      </c>
      <c r="B62" s="54">
        <f>CA!G53-'Coûts &amp; variables'!D45</f>
        <v>28338.475413101478</v>
      </c>
      <c r="C62" s="53"/>
      <c r="D62" s="60" t="s">
        <v>149</v>
      </c>
      <c r="E62" s="54">
        <f>B62/CA!G53</f>
        <v>0.70139747635630312</v>
      </c>
      <c r="F62" s="53"/>
      <c r="G62" s="53"/>
      <c r="H62" s="54" t="s">
        <v>244</v>
      </c>
      <c r="I62" s="54">
        <v>2409.895966411993</v>
      </c>
      <c r="J62" s="54">
        <v>6521.1544841484756</v>
      </c>
      <c r="K62" s="54">
        <f t="shared" si="1"/>
        <v>8931.0504505604695</v>
      </c>
      <c r="L62" s="53"/>
      <c r="M62" s="54" t="s">
        <v>244</v>
      </c>
      <c r="N62" s="54">
        <f>CA!F88-'Coûts &amp; variables'!K62</f>
        <v>23980.097302203743</v>
      </c>
      <c r="O62" s="53"/>
      <c r="P62" s="54" t="s">
        <v>244</v>
      </c>
      <c r="Q62" s="54">
        <f>N62/CA!F88</f>
        <v>0.7286314498159564</v>
      </c>
      <c r="R62" s="8"/>
      <c r="S62" s="8"/>
      <c r="T62" s="8"/>
    </row>
    <row r="63" spans="1:20" ht="16" x14ac:dyDescent="0.2">
      <c r="A63" s="60" t="s">
        <v>150</v>
      </c>
      <c r="B63" s="54">
        <f>CA!G54-'Coûts &amp; variables'!D46</f>
        <v>39223.151657482827</v>
      </c>
      <c r="C63" s="53"/>
      <c r="D63" s="60" t="s">
        <v>150</v>
      </c>
      <c r="E63" s="54">
        <f>B63/CA!G54</f>
        <v>0.70139747635630301</v>
      </c>
      <c r="F63" s="53"/>
      <c r="G63" s="53"/>
      <c r="H63" s="54" t="s">
        <v>245</v>
      </c>
      <c r="I63" s="54">
        <v>2025.6746130178226</v>
      </c>
      <c r="J63" s="54">
        <v>5481.4553284532039</v>
      </c>
      <c r="K63" s="54">
        <f t="shared" si="1"/>
        <v>7507.1299414710265</v>
      </c>
      <c r="L63" s="53"/>
      <c r="M63" s="54" t="s">
        <v>245</v>
      </c>
      <c r="N63" s="54">
        <f>CA!F89-'Coûts &amp; variables'!K63</f>
        <v>20156.834568711351</v>
      </c>
      <c r="O63" s="53"/>
      <c r="P63" s="54" t="s">
        <v>245</v>
      </c>
      <c r="Q63" s="54">
        <f>N63/CA!F89</f>
        <v>0.7286314498159564</v>
      </c>
      <c r="R63" s="8"/>
      <c r="S63" s="8"/>
      <c r="T63" s="8"/>
    </row>
    <row r="64" spans="1:20" ht="16" x14ac:dyDescent="0.2">
      <c r="A64" s="60" t="s">
        <v>151</v>
      </c>
      <c r="B64" s="54">
        <f>CA!G55-'Coûts &amp; variables'!D47</f>
        <v>37394.039893435962</v>
      </c>
      <c r="C64" s="53"/>
      <c r="D64" s="60" t="s">
        <v>151</v>
      </c>
      <c r="E64" s="54">
        <f>B64/CA!G55</f>
        <v>0.70139747635630312</v>
      </c>
      <c r="F64" s="53"/>
      <c r="G64" s="53"/>
      <c r="H64" s="54" t="s">
        <v>246</v>
      </c>
      <c r="I64" s="54">
        <v>1826.7640041356019</v>
      </c>
      <c r="J64" s="54">
        <v>4943.2052018353979</v>
      </c>
      <c r="K64" s="54">
        <f t="shared" si="1"/>
        <v>6769.9692059709996</v>
      </c>
      <c r="L64" s="53"/>
      <c r="M64" s="54" t="s">
        <v>246</v>
      </c>
      <c r="N64" s="54">
        <f>CA!F90-'Coûts &amp; variables'!K64</f>
        <v>18177.539270525522</v>
      </c>
      <c r="O64" s="53"/>
      <c r="P64" s="54" t="s">
        <v>246</v>
      </c>
      <c r="Q64" s="54">
        <f>N64/CA!F90</f>
        <v>0.7286314498159564</v>
      </c>
      <c r="R64" s="8"/>
      <c r="S64" s="8"/>
      <c r="T64" s="8"/>
    </row>
    <row r="65" spans="1:20" ht="16" x14ac:dyDescent="0.2">
      <c r="A65" s="60" t="s">
        <v>152</v>
      </c>
      <c r="B65" s="54">
        <f>CA!G56-'Coûts &amp; variables'!D48</f>
        <v>50822.215960862981</v>
      </c>
      <c r="C65" s="53"/>
      <c r="D65" s="60" t="s">
        <v>152</v>
      </c>
      <c r="E65" s="54">
        <f>B65/CA!G56</f>
        <v>0.70139747635630312</v>
      </c>
      <c r="F65" s="53"/>
      <c r="G65" s="53"/>
      <c r="H65" s="54" t="s">
        <v>247</v>
      </c>
      <c r="I65" s="54">
        <v>2521.4148542482135</v>
      </c>
      <c r="J65" s="54">
        <v>6822.9234839792744</v>
      </c>
      <c r="K65" s="54">
        <f t="shared" si="1"/>
        <v>9344.3383382274878</v>
      </c>
      <c r="L65" s="53"/>
      <c r="M65" s="54" t="s">
        <v>247</v>
      </c>
      <c r="N65" s="54">
        <f>CA!F91-'Coûts &amp; variables'!K65</f>
        <v>25089.78577781362</v>
      </c>
      <c r="O65" s="53"/>
      <c r="P65" s="54" t="s">
        <v>247</v>
      </c>
      <c r="Q65" s="54">
        <f>N65/CA!F91</f>
        <v>0.7286314498159564</v>
      </c>
      <c r="R65" s="8"/>
      <c r="S65" s="8"/>
      <c r="T65" s="8"/>
    </row>
    <row r="66" spans="1:20" ht="16" x14ac:dyDescent="0.2">
      <c r="A66" s="60" t="s">
        <v>158</v>
      </c>
      <c r="B66" s="54">
        <f>CA!G57-'Coûts &amp; variables'!D49</f>
        <v>55006.265331653951</v>
      </c>
      <c r="C66" s="53"/>
      <c r="D66" s="60" t="s">
        <v>158</v>
      </c>
      <c r="E66" s="54">
        <f>B66/CA!G57</f>
        <v>0.72863144981595629</v>
      </c>
      <c r="F66" s="53"/>
      <c r="G66" s="53"/>
      <c r="H66" s="54" t="s">
        <v>248</v>
      </c>
      <c r="I66" s="54">
        <v>2719.9728740541682</v>
      </c>
      <c r="J66" s="54">
        <v>7360.2195080682568</v>
      </c>
      <c r="K66" s="54">
        <f t="shared" si="1"/>
        <v>10080.192382122425</v>
      </c>
      <c r="L66" s="53"/>
      <c r="M66" s="54" t="s">
        <v>248</v>
      </c>
      <c r="N66" s="54">
        <f>CA!F92-'Coûts &amp; variables'!K66</f>
        <v>27065.572575850725</v>
      </c>
      <c r="O66" s="53"/>
      <c r="P66" s="54" t="s">
        <v>248</v>
      </c>
      <c r="Q66" s="54">
        <f>N66/CA!F92</f>
        <v>0.7286314498159564</v>
      </c>
      <c r="R66" s="8"/>
      <c r="S66" s="8"/>
      <c r="T66" s="8"/>
    </row>
    <row r="67" spans="1:20" ht="16" x14ac:dyDescent="0.2">
      <c r="A67" s="60" t="s">
        <v>159</v>
      </c>
      <c r="B67" s="54">
        <f>CA!G58-'Coûts &amp; variables'!D50</f>
        <v>70687.757353517678</v>
      </c>
      <c r="C67" s="53"/>
      <c r="D67" s="60" t="s">
        <v>159</v>
      </c>
      <c r="E67" s="54">
        <f>B67/CA!G58</f>
        <v>0.7286314498159564</v>
      </c>
      <c r="F67" s="53"/>
      <c r="G67" s="53"/>
      <c r="H67" s="54" t="s">
        <v>249</v>
      </c>
      <c r="I67" s="54">
        <v>2407.7804319543952</v>
      </c>
      <c r="J67" s="54">
        <v>6515.4298689755342</v>
      </c>
      <c r="K67" s="54">
        <f t="shared" si="1"/>
        <v>8923.2103009299299</v>
      </c>
      <c r="L67" s="53"/>
      <c r="M67" s="54" t="s">
        <v>249</v>
      </c>
      <c r="N67" s="54">
        <f>CA!F93-'Coûts &amp; variables'!K67</f>
        <v>23959.046301311406</v>
      </c>
      <c r="O67" s="53"/>
      <c r="P67" s="54" t="s">
        <v>249</v>
      </c>
      <c r="Q67" s="54">
        <f>N67/CA!F93</f>
        <v>0.72863144981595629</v>
      </c>
      <c r="R67" s="8"/>
      <c r="S67" s="8"/>
      <c r="T67" s="8"/>
    </row>
    <row r="68" spans="1:20" ht="16" x14ac:dyDescent="0.2">
      <c r="A68" s="60" t="s">
        <v>160</v>
      </c>
      <c r="B68" s="54">
        <f>CA!G59-'Coûts &amp; variables'!D51</f>
        <v>63424.159617050485</v>
      </c>
      <c r="C68" s="53"/>
      <c r="D68" s="60" t="s">
        <v>160</v>
      </c>
      <c r="E68" s="54">
        <f>B68/CA!G59</f>
        <v>0.7286314498159564</v>
      </c>
      <c r="F68" s="53"/>
      <c r="G68" s="53"/>
      <c r="H68" s="54" t="s">
        <v>250</v>
      </c>
      <c r="I68" s="54">
        <v>3144.1879026705424</v>
      </c>
      <c r="J68" s="54">
        <v>8508.1411506043842</v>
      </c>
      <c r="K68" s="54">
        <f t="shared" si="1"/>
        <v>11652.329053274927</v>
      </c>
      <c r="L68" s="53"/>
      <c r="M68" s="54" t="s">
        <v>250</v>
      </c>
      <c r="N68" s="54">
        <f>CA!F94-'Coûts &amp; variables'!K68</f>
        <v>31286.799469069516</v>
      </c>
      <c r="O68" s="53"/>
      <c r="P68" s="54" t="s">
        <v>250</v>
      </c>
      <c r="Q68" s="54">
        <f>N68/CA!F94</f>
        <v>0.7286314498159564</v>
      </c>
      <c r="R68" s="8"/>
      <c r="S68" s="8"/>
      <c r="T68" s="8"/>
    </row>
    <row r="69" spans="1:20" ht="16" x14ac:dyDescent="0.2">
      <c r="A69" s="60" t="s">
        <v>161</v>
      </c>
      <c r="B69" s="54">
        <f>CA!G60-'Coûts &amp; variables'!D52</f>
        <v>83753.125128113927</v>
      </c>
      <c r="C69" s="53"/>
      <c r="D69" s="60" t="s">
        <v>161</v>
      </c>
      <c r="E69" s="54">
        <f>B69/CA!G60</f>
        <v>0.73205106163546307</v>
      </c>
      <c r="F69" s="53"/>
      <c r="G69" s="53"/>
      <c r="H69" s="54" t="s">
        <v>251</v>
      </c>
      <c r="I69" s="54" cm="1">
        <f t="array" ref="I69:I80">(B22*0.85)*CA!B95:'CA'!B106*(1+B40)^2</f>
        <v>2478.016709988613</v>
      </c>
      <c r="J69" s="54" cm="1">
        <f t="array" ref="J69:J80">(B23*0.85)*CA!C95:C106*(1+'Coûts &amp; variables'!B40)^2</f>
        <v>6397.1902142511044</v>
      </c>
      <c r="K69" s="54">
        <f t="shared" si="1"/>
        <v>8875.2069242397174</v>
      </c>
      <c r="L69" s="53"/>
      <c r="M69" s="54" t="s">
        <v>251</v>
      </c>
      <c r="N69" s="54">
        <f>CA!F95-'Coûts &amp; variables'!K69</f>
        <v>25418.205729259818</v>
      </c>
      <c r="O69" s="53"/>
      <c r="P69" s="54" t="s">
        <v>251</v>
      </c>
      <c r="Q69" s="54">
        <f>N69/CA!F95</f>
        <v>0.74119790835882204</v>
      </c>
      <c r="R69" s="8"/>
      <c r="S69" s="8"/>
      <c r="T69" s="8"/>
    </row>
    <row r="70" spans="1:20" ht="16" x14ac:dyDescent="0.2">
      <c r="A70" s="60" t="s">
        <v>162</v>
      </c>
      <c r="B70" s="54">
        <f>CA!G61-'Coûts &amp; variables'!D53</f>
        <v>84258.18163199602</v>
      </c>
      <c r="C70" s="53"/>
      <c r="D70" s="60" t="s">
        <v>162</v>
      </c>
      <c r="E70" s="54">
        <f>B70/CA!G61</f>
        <v>0.74119790835882216</v>
      </c>
      <c r="F70" s="53"/>
      <c r="G70" s="53"/>
      <c r="H70" s="54" t="s">
        <v>252</v>
      </c>
      <c r="I70" s="54">
        <v>2686.3331574192225</v>
      </c>
      <c r="J70" s="54">
        <v>6934.9751023024755</v>
      </c>
      <c r="K70" s="54">
        <f t="shared" si="1"/>
        <v>9621.3082597216981</v>
      </c>
      <c r="L70" s="53"/>
      <c r="M70" s="54" t="s">
        <v>252</v>
      </c>
      <c r="N70" s="54">
        <f>CA!F96-'Coûts &amp; variables'!K70</f>
        <v>27555.007428875528</v>
      </c>
      <c r="O70" s="53"/>
      <c r="P70" s="54" t="s">
        <v>252</v>
      </c>
      <c r="Q70" s="54">
        <f>N70/CA!F96</f>
        <v>0.74119790835882204</v>
      </c>
      <c r="R70" s="8"/>
      <c r="S70" s="8"/>
      <c r="T70" s="8"/>
    </row>
    <row r="71" spans="1:20" ht="16" x14ac:dyDescent="0.2">
      <c r="A71" s="60" t="s">
        <v>163</v>
      </c>
      <c r="B71" s="54">
        <f>CA!G62-'Coûts &amp; variables'!D54</f>
        <v>105004.893080443</v>
      </c>
      <c r="C71" s="53"/>
      <c r="D71" s="60" t="s">
        <v>163</v>
      </c>
      <c r="E71" s="54">
        <f>B71/CA!G62</f>
        <v>0.74119790835882216</v>
      </c>
      <c r="F71" s="53"/>
      <c r="G71" s="53"/>
      <c r="H71" s="54" t="s">
        <v>253</v>
      </c>
      <c r="I71" s="54">
        <v>3049.9664482789276</v>
      </c>
      <c r="J71" s="54">
        <v>7873.7223353162181</v>
      </c>
      <c r="K71" s="54">
        <f t="shared" si="1"/>
        <v>10923.688783595146</v>
      </c>
      <c r="L71" s="53"/>
      <c r="M71" s="54" t="s">
        <v>253</v>
      </c>
      <c r="N71" s="54">
        <f>CA!F97-'Coûts &amp; variables'!K71</f>
        <v>31284.968473860663</v>
      </c>
      <c r="O71" s="53"/>
      <c r="P71" s="54" t="s">
        <v>253</v>
      </c>
      <c r="Q71" s="54">
        <f>N71/CA!F97</f>
        <v>0.74119790835882216</v>
      </c>
      <c r="R71" s="8"/>
      <c r="S71" s="8"/>
      <c r="T71" s="8"/>
    </row>
    <row r="72" spans="1:20" ht="16" x14ac:dyDescent="0.2">
      <c r="A72" s="60" t="s">
        <v>164</v>
      </c>
      <c r="B72" s="54">
        <f>CA!G63-'Coûts &amp; variables'!D55</f>
        <v>91777.68096626726</v>
      </c>
      <c r="C72" s="53"/>
      <c r="D72" s="60" t="s">
        <v>164</v>
      </c>
      <c r="E72" s="54">
        <f>B72/CA!G63</f>
        <v>0.74119790835882216</v>
      </c>
      <c r="F72" s="53"/>
      <c r="G72" s="53"/>
      <c r="H72" s="54" t="s">
        <v>254</v>
      </c>
      <c r="I72" s="54">
        <v>3282.0341859567911</v>
      </c>
      <c r="J72" s="54">
        <v>8472.8230009945564</v>
      </c>
      <c r="K72" s="54">
        <f t="shared" si="1"/>
        <v>11754.857186951347</v>
      </c>
      <c r="L72" s="53"/>
      <c r="M72" s="54" t="s">
        <v>254</v>
      </c>
      <c r="N72" s="54">
        <f>CA!F98-'Coûts &amp; variables'!K72</f>
        <v>33665.398547492783</v>
      </c>
      <c r="O72" s="53"/>
      <c r="P72" s="54" t="s">
        <v>254</v>
      </c>
      <c r="Q72" s="54">
        <f>N72/CA!F98</f>
        <v>0.74119790835882204</v>
      </c>
      <c r="R72" s="8"/>
      <c r="S72" s="8"/>
      <c r="T72" s="8"/>
    </row>
    <row r="73" spans="1:20" ht="16" x14ac:dyDescent="0.2">
      <c r="A73" s="60" t="s">
        <v>165</v>
      </c>
      <c r="B73" s="54">
        <f>CA!G64-'Coûts &amp; variables'!D56</f>
        <v>116423.5102783396</v>
      </c>
      <c r="C73" s="53"/>
      <c r="D73" s="60" t="s">
        <v>165</v>
      </c>
      <c r="E73" s="54">
        <f>B73/CA!G64</f>
        <v>0.74119790835882204</v>
      </c>
      <c r="F73" s="53"/>
      <c r="G73" s="53"/>
      <c r="H73" s="54" t="s">
        <v>255</v>
      </c>
      <c r="I73" s="54">
        <v>3516.0206959908742</v>
      </c>
      <c r="J73" s="54">
        <v>9076.8771246907909</v>
      </c>
      <c r="K73" s="54">
        <f t="shared" si="1"/>
        <v>12592.897820681665</v>
      </c>
      <c r="L73" s="53"/>
      <c r="M73" s="54" t="s">
        <v>255</v>
      </c>
      <c r="N73" s="54">
        <f>CA!F99-'Coûts &amp; variables'!K73</f>
        <v>36065.510389331481</v>
      </c>
      <c r="O73" s="53"/>
      <c r="P73" s="54" t="s">
        <v>255</v>
      </c>
      <c r="Q73" s="54">
        <f>N73/CA!F99</f>
        <v>0.74119790835882204</v>
      </c>
      <c r="R73" s="8"/>
      <c r="S73" s="8"/>
      <c r="T73" s="8"/>
    </row>
    <row r="74" spans="1:20" ht="16" x14ac:dyDescent="0.2">
      <c r="A74" s="53"/>
      <c r="B74" s="53"/>
      <c r="C74" s="53"/>
      <c r="D74" s="53"/>
      <c r="E74" s="53"/>
      <c r="F74" s="53"/>
      <c r="G74" s="53"/>
      <c r="H74" s="54" t="s">
        <v>256</v>
      </c>
      <c r="I74" s="54">
        <v>3438.8549320434645</v>
      </c>
      <c r="J74" s="54">
        <v>8877.6677860250129</v>
      </c>
      <c r="K74" s="54">
        <f t="shared" si="1"/>
        <v>12316.522718068478</v>
      </c>
      <c r="L74" s="53"/>
      <c r="M74" s="54" t="s">
        <v>256</v>
      </c>
      <c r="N74" s="54">
        <f>CA!F100-'Coûts &amp; variables'!K74</f>
        <v>35273.984143618727</v>
      </c>
      <c r="O74" s="53"/>
      <c r="P74" s="54" t="s">
        <v>256</v>
      </c>
      <c r="Q74" s="54">
        <f>N74/CA!F100</f>
        <v>0.74119790835882204</v>
      </c>
      <c r="R74" s="8"/>
      <c r="S74" s="8"/>
      <c r="T74" s="8"/>
    </row>
    <row r="75" spans="1:20" ht="16" x14ac:dyDescent="0.2">
      <c r="A75" s="53"/>
      <c r="B75" s="53"/>
      <c r="C75" s="53"/>
      <c r="D75" s="53"/>
      <c r="E75" s="53"/>
      <c r="F75" s="53"/>
      <c r="G75" s="53"/>
      <c r="H75" s="54" t="s">
        <v>257</v>
      </c>
      <c r="I75" s="54">
        <v>2870.4834449039363</v>
      </c>
      <c r="J75" s="54">
        <v>7410.3731947770611</v>
      </c>
      <c r="K75" s="54">
        <f t="shared" si="1"/>
        <v>10280.856639680998</v>
      </c>
      <c r="L75" s="53"/>
      <c r="M75" s="54" t="s">
        <v>257</v>
      </c>
      <c r="N75" s="54">
        <f>CA!F101-'Coûts &amp; variables'!K75</f>
        <v>29443.925237024727</v>
      </c>
      <c r="O75" s="53"/>
      <c r="P75" s="54" t="s">
        <v>257</v>
      </c>
      <c r="Q75" s="54">
        <f>N75/CA!F101</f>
        <v>0.74119790835882204</v>
      </c>
      <c r="R75" s="8"/>
      <c r="S75" s="8"/>
      <c r="T75" s="8"/>
    </row>
    <row r="76" spans="1:20" ht="16" x14ac:dyDescent="0.2">
      <c r="A76" s="13"/>
      <c r="B76" s="53"/>
      <c r="C76" s="53"/>
      <c r="D76" s="53"/>
      <c r="E76" s="53"/>
      <c r="F76" s="53"/>
      <c r="G76" s="53"/>
      <c r="H76" s="54" t="s">
        <v>258</v>
      </c>
      <c r="I76" s="54">
        <v>2567.5767061829524</v>
      </c>
      <c r="J76" s="54">
        <v>6628.3962141676375</v>
      </c>
      <c r="K76" s="54">
        <f t="shared" si="1"/>
        <v>9195.9729203505904</v>
      </c>
      <c r="L76" s="53"/>
      <c r="M76" s="54" t="s">
        <v>258</v>
      </c>
      <c r="N76" s="54">
        <f>CA!F102-'Coûts &amp; variables'!K76</f>
        <v>26336.865558793383</v>
      </c>
      <c r="O76" s="53"/>
      <c r="P76" s="54" t="s">
        <v>258</v>
      </c>
      <c r="Q76" s="54">
        <f>N76/CA!F102</f>
        <v>0.74119790835882204</v>
      </c>
      <c r="R76" s="8"/>
      <c r="S76" s="8"/>
      <c r="T76" s="8"/>
    </row>
    <row r="77" spans="1:20" ht="16" x14ac:dyDescent="0.2">
      <c r="A77" s="53"/>
      <c r="B77" s="53"/>
      <c r="C77" s="53"/>
      <c r="D77" s="53"/>
      <c r="E77" s="53"/>
      <c r="F77" s="53"/>
      <c r="G77" s="53"/>
      <c r="H77" s="54" t="s">
        <v>259</v>
      </c>
      <c r="I77" s="54">
        <v>3509.3309221002728</v>
      </c>
      <c r="J77" s="54">
        <v>9059.606960250012</v>
      </c>
      <c r="K77" s="54">
        <f t="shared" si="1"/>
        <v>12568.937882350285</v>
      </c>
      <c r="L77" s="53"/>
      <c r="M77" s="54" t="s">
        <v>259</v>
      </c>
      <c r="N77" s="54">
        <f>CA!F103-'Coûts &amp; variables'!K77</f>
        <v>35996.890170449136</v>
      </c>
      <c r="O77" s="53"/>
      <c r="P77" s="54" t="s">
        <v>259</v>
      </c>
      <c r="Q77" s="54">
        <f>N77/CA!F103</f>
        <v>0.74119790835882204</v>
      </c>
      <c r="R77" s="8"/>
      <c r="S77" s="8"/>
      <c r="T77" s="8"/>
    </row>
    <row r="78" spans="1:20" ht="16" x14ac:dyDescent="0.2">
      <c r="A78" s="53"/>
      <c r="B78" s="53"/>
      <c r="C78" s="53"/>
      <c r="D78" s="53"/>
      <c r="E78" s="53"/>
      <c r="F78" s="53"/>
      <c r="G78" s="53"/>
      <c r="H78" s="54" t="s">
        <v>260</v>
      </c>
      <c r="I78" s="54">
        <v>3758.0971651484765</v>
      </c>
      <c r="J78" s="54">
        <v>9701.8160984084425</v>
      </c>
      <c r="K78" s="54">
        <f t="shared" si="1"/>
        <v>13459.913263556919</v>
      </c>
      <c r="L78" s="53"/>
      <c r="M78" s="54" t="s">
        <v>260</v>
      </c>
      <c r="N78" s="54">
        <f>CA!F104-'Coûts &amp; variables'!K78</f>
        <v>38548.604821446526</v>
      </c>
      <c r="O78" s="53"/>
      <c r="P78" s="54" t="s">
        <v>260</v>
      </c>
      <c r="Q78" s="54">
        <f>N78/CA!F104</f>
        <v>0.74119790835882216</v>
      </c>
      <c r="R78" s="8"/>
      <c r="S78" s="8"/>
      <c r="T78" s="8"/>
    </row>
    <row r="79" spans="1:20" ht="19" x14ac:dyDescent="0.25">
      <c r="A79" s="133" t="s">
        <v>68</v>
      </c>
      <c r="B79" s="133"/>
      <c r="C79" s="133"/>
      <c r="D79" s="133"/>
      <c r="E79" s="53"/>
      <c r="F79" s="53"/>
      <c r="G79" s="53"/>
      <c r="H79" s="54" t="s">
        <v>261</v>
      </c>
      <c r="I79" s="54">
        <v>3308.4821292452184</v>
      </c>
      <c r="J79" s="54">
        <v>8541.1003952953288</v>
      </c>
      <c r="K79" s="54">
        <f t="shared" si="1"/>
        <v>11849.582524540547</v>
      </c>
      <c r="L79" s="53"/>
      <c r="M79" s="54" t="s">
        <v>261</v>
      </c>
      <c r="N79" s="54">
        <f>CA!F105-'Coûts &amp; variables'!K79</f>
        <v>33936.687784934664</v>
      </c>
      <c r="O79" s="53"/>
      <c r="P79" s="54" t="s">
        <v>261</v>
      </c>
      <c r="Q79" s="54">
        <f>N79/CA!F105</f>
        <v>0.74119790835882204</v>
      </c>
      <c r="R79" s="8"/>
      <c r="S79" s="8"/>
      <c r="T79" s="8"/>
    </row>
    <row r="80" spans="1:20" ht="16" x14ac:dyDescent="0.2">
      <c r="A80" s="63" t="s">
        <v>35</v>
      </c>
      <c r="B80" s="63" t="s">
        <v>174</v>
      </c>
      <c r="C80" s="63" t="s">
        <v>175</v>
      </c>
      <c r="D80" s="63" t="s">
        <v>176</v>
      </c>
      <c r="E80" s="53"/>
      <c r="F80" s="53"/>
      <c r="G80" s="53"/>
      <c r="H80" s="54" t="s">
        <v>227</v>
      </c>
      <c r="I80" s="54">
        <v>4283.529638478557</v>
      </c>
      <c r="J80" s="54">
        <v>11058.260331850435</v>
      </c>
      <c r="K80" s="54">
        <f t="shared" si="1"/>
        <v>15341.789970328991</v>
      </c>
      <c r="L80" s="53"/>
      <c r="M80" s="54" t="s">
        <v>227</v>
      </c>
      <c r="N80" s="54">
        <f>CA!F106-'Coûts &amp; variables'!K80</f>
        <v>43938.217671958409</v>
      </c>
      <c r="O80" s="53"/>
      <c r="P80" s="54" t="s">
        <v>227</v>
      </c>
      <c r="Q80" s="54">
        <f>N80/CA!F106</f>
        <v>0.74119790835882204</v>
      </c>
      <c r="R80" s="8"/>
      <c r="S80" s="8"/>
      <c r="T80" s="8"/>
    </row>
    <row r="81" spans="1:20" ht="16" x14ac:dyDescent="0.2">
      <c r="A81" s="64" t="s">
        <v>49</v>
      </c>
      <c r="B81" s="65">
        <v>4000</v>
      </c>
      <c r="C81" s="65">
        <f>B81*(1+0.03)</f>
        <v>4120</v>
      </c>
      <c r="D81" s="65">
        <f>C81*(1+0.03)</f>
        <v>4243.6000000000004</v>
      </c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8"/>
      <c r="S81" s="8"/>
      <c r="T81" s="8"/>
    </row>
    <row r="82" spans="1:20" ht="16" x14ac:dyDescent="0.2">
      <c r="A82" s="64" t="s">
        <v>50</v>
      </c>
      <c r="B82" s="65">
        <v>300</v>
      </c>
      <c r="C82" s="65">
        <f t="shared" ref="C82:D101" si="2">B82*(1+0.03)</f>
        <v>309</v>
      </c>
      <c r="D82" s="65">
        <f t="shared" si="2"/>
        <v>318.27</v>
      </c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8"/>
      <c r="S82" s="8"/>
      <c r="T82" s="8"/>
    </row>
    <row r="83" spans="1:20" ht="16" x14ac:dyDescent="0.2">
      <c r="A83" s="64" t="s">
        <v>51</v>
      </c>
      <c r="B83" s="65">
        <f>Hypothèses!C12</f>
        <v>3600</v>
      </c>
      <c r="C83" s="65">
        <f>Hypothèses!C13</f>
        <v>12205.5</v>
      </c>
      <c r="D83" s="65">
        <f>Hypothèses!C14</f>
        <v>15913.5</v>
      </c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8"/>
      <c r="S83" s="8"/>
      <c r="T83" s="8"/>
    </row>
    <row r="84" spans="1:20" ht="16" x14ac:dyDescent="0.2">
      <c r="A84" s="64" t="s">
        <v>52</v>
      </c>
      <c r="B84" s="65">
        <v>300</v>
      </c>
      <c r="C84" s="65">
        <f t="shared" si="2"/>
        <v>309</v>
      </c>
      <c r="D84" s="65">
        <f t="shared" ref="D84:D101" si="3">C84*(1+0.03)</f>
        <v>318.27</v>
      </c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8"/>
      <c r="S84" s="8"/>
      <c r="T84" s="8"/>
    </row>
    <row r="85" spans="1:20" ht="16" x14ac:dyDescent="0.2">
      <c r="A85" s="64" t="s">
        <v>53</v>
      </c>
      <c r="B85" s="65">
        <v>0</v>
      </c>
      <c r="C85" s="65">
        <f t="shared" si="2"/>
        <v>0</v>
      </c>
      <c r="D85" s="65">
        <f t="shared" si="3"/>
        <v>0</v>
      </c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8"/>
      <c r="S85" s="8"/>
      <c r="T85" s="8"/>
    </row>
    <row r="86" spans="1:20" ht="16" x14ac:dyDescent="0.2">
      <c r="A86" s="64" t="s">
        <v>54</v>
      </c>
      <c r="B86" s="65">
        <v>250</v>
      </c>
      <c r="C86" s="65">
        <f t="shared" si="2"/>
        <v>257.5</v>
      </c>
      <c r="D86" s="65">
        <f t="shared" si="3"/>
        <v>265.22500000000002</v>
      </c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8"/>
      <c r="S86" s="8"/>
      <c r="T86" s="8"/>
    </row>
    <row r="87" spans="1:20" ht="16" x14ac:dyDescent="0.2">
      <c r="A87" s="64" t="s">
        <v>55</v>
      </c>
      <c r="B87" s="65">
        <v>180</v>
      </c>
      <c r="C87" s="65">
        <f t="shared" si="2"/>
        <v>185.4</v>
      </c>
      <c r="D87" s="65">
        <f t="shared" si="3"/>
        <v>190.96200000000002</v>
      </c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8"/>
      <c r="S87" s="8"/>
      <c r="T87" s="8"/>
    </row>
    <row r="88" spans="1:20" ht="16" x14ac:dyDescent="0.2">
      <c r="A88" s="64" t="s">
        <v>56</v>
      </c>
      <c r="B88" s="65">
        <v>700</v>
      </c>
      <c r="C88" s="65">
        <f t="shared" si="2"/>
        <v>721</v>
      </c>
      <c r="D88" s="65">
        <f t="shared" si="3"/>
        <v>742.63</v>
      </c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8"/>
      <c r="S88" s="8"/>
      <c r="T88" s="8"/>
    </row>
    <row r="89" spans="1:20" ht="16" x14ac:dyDescent="0.2">
      <c r="A89" s="64" t="s">
        <v>57</v>
      </c>
      <c r="B89" s="65">
        <v>150</v>
      </c>
      <c r="C89" s="65">
        <f t="shared" si="2"/>
        <v>154.5</v>
      </c>
      <c r="D89" s="65">
        <f t="shared" si="3"/>
        <v>159.13499999999999</v>
      </c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8"/>
      <c r="S89" s="8"/>
      <c r="T89" s="8"/>
    </row>
    <row r="90" spans="1:20" ht="16" x14ac:dyDescent="0.2">
      <c r="A90" s="64" t="s">
        <v>177</v>
      </c>
      <c r="B90" s="65">
        <v>120</v>
      </c>
      <c r="C90" s="65">
        <f t="shared" si="2"/>
        <v>123.60000000000001</v>
      </c>
      <c r="D90" s="65">
        <f t="shared" si="3"/>
        <v>127.30800000000001</v>
      </c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8"/>
      <c r="S90" s="8"/>
      <c r="T90" s="8"/>
    </row>
    <row r="91" spans="1:20" ht="16" x14ac:dyDescent="0.2">
      <c r="A91" s="64" t="s">
        <v>58</v>
      </c>
      <c r="B91" s="65">
        <v>120</v>
      </c>
      <c r="C91" s="65">
        <f t="shared" si="2"/>
        <v>123.60000000000001</v>
      </c>
      <c r="D91" s="65">
        <f t="shared" si="3"/>
        <v>127.30800000000001</v>
      </c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8"/>
      <c r="S91" s="8"/>
      <c r="T91" s="8"/>
    </row>
    <row r="92" spans="1:20" ht="16" x14ac:dyDescent="0.2">
      <c r="A92" s="64" t="s">
        <v>59</v>
      </c>
      <c r="B92" s="65">
        <v>100</v>
      </c>
      <c r="C92" s="65">
        <f t="shared" si="2"/>
        <v>103</v>
      </c>
      <c r="D92" s="65">
        <f t="shared" si="3"/>
        <v>106.09</v>
      </c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8"/>
      <c r="S92" s="8"/>
      <c r="T92" s="8"/>
    </row>
    <row r="93" spans="1:20" ht="16" x14ac:dyDescent="0.2">
      <c r="A93" s="64" t="s">
        <v>60</v>
      </c>
      <c r="B93" s="65">
        <v>80</v>
      </c>
      <c r="C93" s="65">
        <f t="shared" si="2"/>
        <v>82.4</v>
      </c>
      <c r="D93" s="65">
        <f t="shared" si="3"/>
        <v>84.872000000000014</v>
      </c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8"/>
      <c r="S93" s="8"/>
      <c r="T93" s="8"/>
    </row>
    <row r="94" spans="1:20" s="6" customFormat="1" ht="16" x14ac:dyDescent="0.2">
      <c r="A94" s="66" t="s">
        <v>279</v>
      </c>
      <c r="B94" s="67">
        <v>0</v>
      </c>
      <c r="C94" s="65">
        <f t="shared" si="2"/>
        <v>0</v>
      </c>
      <c r="D94" s="65">
        <f t="shared" si="3"/>
        <v>0</v>
      </c>
      <c r="E94" s="68"/>
      <c r="F94" s="55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33"/>
      <c r="S94" s="33"/>
      <c r="T94" s="33"/>
    </row>
    <row r="95" spans="1:20" ht="16" x14ac:dyDescent="0.2">
      <c r="A95" s="64" t="s">
        <v>61</v>
      </c>
      <c r="B95" s="65">
        <v>200</v>
      </c>
      <c r="C95" s="65">
        <f t="shared" si="2"/>
        <v>206</v>
      </c>
      <c r="D95" s="65">
        <f t="shared" si="3"/>
        <v>212.18</v>
      </c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8"/>
      <c r="S95" s="8"/>
      <c r="T95" s="8"/>
    </row>
    <row r="96" spans="1:20" ht="16" x14ac:dyDescent="0.2">
      <c r="A96" s="64" t="s">
        <v>62</v>
      </c>
      <c r="B96" s="65">
        <v>400</v>
      </c>
      <c r="C96" s="65">
        <f t="shared" si="2"/>
        <v>412</v>
      </c>
      <c r="D96" s="65">
        <f t="shared" si="3"/>
        <v>424.36</v>
      </c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8"/>
      <c r="S96" s="8"/>
      <c r="T96" s="8"/>
    </row>
    <row r="97" spans="1:20" ht="16" x14ac:dyDescent="0.2">
      <c r="A97" s="64" t="s">
        <v>317</v>
      </c>
      <c r="B97" s="65">
        <v>400</v>
      </c>
      <c r="C97" s="65">
        <f t="shared" si="2"/>
        <v>412</v>
      </c>
      <c r="D97" s="65">
        <f t="shared" si="3"/>
        <v>424.36</v>
      </c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8"/>
      <c r="S97" s="8"/>
      <c r="T97" s="8"/>
    </row>
    <row r="98" spans="1:20" ht="16" x14ac:dyDescent="0.2">
      <c r="A98" s="64" t="s">
        <v>63</v>
      </c>
      <c r="B98" s="65">
        <v>40</v>
      </c>
      <c r="C98" s="65">
        <f t="shared" si="2"/>
        <v>41.2</v>
      </c>
      <c r="D98" s="65">
        <f t="shared" si="3"/>
        <v>42.436000000000007</v>
      </c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8"/>
      <c r="S98" s="8"/>
      <c r="T98" s="8"/>
    </row>
    <row r="99" spans="1:20" ht="16" x14ac:dyDescent="0.2">
      <c r="A99" s="64" t="s">
        <v>64</v>
      </c>
      <c r="B99" s="65">
        <v>80</v>
      </c>
      <c r="C99" s="65">
        <f t="shared" si="2"/>
        <v>82.4</v>
      </c>
      <c r="D99" s="65">
        <f t="shared" si="3"/>
        <v>84.872000000000014</v>
      </c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8"/>
      <c r="S99" s="8"/>
      <c r="T99" s="8"/>
    </row>
    <row r="100" spans="1:20" ht="16" x14ac:dyDescent="0.2">
      <c r="A100" s="64" t="s">
        <v>65</v>
      </c>
      <c r="B100" s="65">
        <v>600</v>
      </c>
      <c r="C100" s="65">
        <f t="shared" si="2"/>
        <v>618</v>
      </c>
      <c r="D100" s="65">
        <f t="shared" si="3"/>
        <v>636.54</v>
      </c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8"/>
      <c r="S100" s="8"/>
      <c r="T100" s="8"/>
    </row>
    <row r="101" spans="1:20" ht="16" x14ac:dyDescent="0.2">
      <c r="A101" s="66" t="s">
        <v>66</v>
      </c>
      <c r="B101" s="65">
        <v>0</v>
      </c>
      <c r="C101" s="65">
        <f t="shared" si="2"/>
        <v>0</v>
      </c>
      <c r="D101" s="65">
        <f t="shared" si="3"/>
        <v>0</v>
      </c>
      <c r="E101" s="53"/>
      <c r="F101" s="55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8"/>
      <c r="S101" s="8"/>
      <c r="T101" s="8"/>
    </row>
    <row r="102" spans="1:20" ht="16" x14ac:dyDescent="0.2">
      <c r="A102" s="64" t="s">
        <v>48</v>
      </c>
      <c r="B102" s="65">
        <f>SUM(B81:B101)</f>
        <v>11620</v>
      </c>
      <c r="C102" s="65">
        <f t="shared" ref="C102:D102" si="4">SUM(C81:C101)</f>
        <v>20466.100000000002</v>
      </c>
      <c r="D102" s="65">
        <f t="shared" si="4"/>
        <v>24421.918000000005</v>
      </c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8"/>
      <c r="S102" s="8"/>
      <c r="T102" s="8"/>
    </row>
    <row r="103" spans="1:20" ht="16" x14ac:dyDescent="0.2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8"/>
      <c r="S103" s="8"/>
      <c r="T103" s="8"/>
    </row>
    <row r="104" spans="1:20" ht="16" x14ac:dyDescent="0.2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8"/>
      <c r="S104" s="8"/>
      <c r="T104" s="8"/>
    </row>
    <row r="105" spans="1:20" ht="16" x14ac:dyDescent="0.2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8"/>
      <c r="S105" s="8"/>
      <c r="T105" s="8"/>
    </row>
    <row r="106" spans="1:20" ht="16" x14ac:dyDescent="0.2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8"/>
      <c r="S106" s="8"/>
      <c r="T106" s="8"/>
    </row>
    <row r="107" spans="1:20" ht="16" x14ac:dyDescent="0.2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8"/>
      <c r="S107" s="8"/>
      <c r="T107" s="8"/>
    </row>
    <row r="108" spans="1:20" ht="19" x14ac:dyDescent="0.25">
      <c r="A108" s="133" t="s">
        <v>180</v>
      </c>
      <c r="B108" s="133"/>
      <c r="C108" s="133"/>
      <c r="D108" s="13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8"/>
      <c r="S108" s="8"/>
      <c r="T108" s="8"/>
    </row>
    <row r="109" spans="1:20" ht="16" x14ac:dyDescent="0.2">
      <c r="A109" s="63" t="s">
        <v>35</v>
      </c>
      <c r="B109" s="63" t="s">
        <v>174</v>
      </c>
      <c r="C109" s="63" t="s">
        <v>175</v>
      </c>
      <c r="D109" s="63" t="s">
        <v>176</v>
      </c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8"/>
      <c r="S109" s="8"/>
      <c r="T109" s="8"/>
    </row>
    <row r="110" spans="1:20" ht="16" x14ac:dyDescent="0.2">
      <c r="A110" s="64" t="s">
        <v>69</v>
      </c>
      <c r="B110" s="64">
        <v>600</v>
      </c>
      <c r="C110" s="64">
        <v>900</v>
      </c>
      <c r="D110" s="64">
        <v>1200</v>
      </c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8"/>
      <c r="S110" s="8"/>
      <c r="T110" s="8"/>
    </row>
    <row r="111" spans="1:20" ht="16" x14ac:dyDescent="0.2">
      <c r="A111" s="64" t="s">
        <v>407</v>
      </c>
      <c r="B111" s="64">
        <v>200</v>
      </c>
      <c r="C111" s="64">
        <v>206</v>
      </c>
      <c r="D111" s="64">
        <v>212.18</v>
      </c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8"/>
      <c r="S111" s="8"/>
      <c r="T111" s="8"/>
    </row>
    <row r="112" spans="1:20" ht="16" x14ac:dyDescent="0.2">
      <c r="A112" s="64" t="s">
        <v>70</v>
      </c>
      <c r="B112" s="64">
        <v>200</v>
      </c>
      <c r="C112" s="64">
        <v>206</v>
      </c>
      <c r="D112" s="64">
        <v>212.18</v>
      </c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8"/>
      <c r="S112" s="8"/>
      <c r="T112" s="8"/>
    </row>
    <row r="113" spans="1:20" ht="16" x14ac:dyDescent="0.2">
      <c r="A113" s="64" t="s">
        <v>71</v>
      </c>
      <c r="B113" s="64">
        <v>200</v>
      </c>
      <c r="C113" s="64">
        <v>257.5</v>
      </c>
      <c r="D113" s="64">
        <v>265.23</v>
      </c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8"/>
      <c r="S113" s="8"/>
      <c r="T113" s="8"/>
    </row>
    <row r="114" spans="1:20" ht="16" x14ac:dyDescent="0.2">
      <c r="A114" s="64" t="s">
        <v>72</v>
      </c>
      <c r="B114" s="64">
        <v>150</v>
      </c>
      <c r="C114" s="64">
        <v>154.5</v>
      </c>
      <c r="D114" s="64">
        <v>159.13</v>
      </c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8"/>
      <c r="S114" s="8"/>
      <c r="T114" s="8"/>
    </row>
    <row r="115" spans="1:20" ht="16" x14ac:dyDescent="0.2">
      <c r="A115" s="64" t="s">
        <v>73</v>
      </c>
      <c r="B115" s="64">
        <v>400</v>
      </c>
      <c r="C115" s="64">
        <v>412</v>
      </c>
      <c r="D115" s="64">
        <v>424.36</v>
      </c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8"/>
      <c r="S115" s="8"/>
      <c r="T115" s="8"/>
    </row>
    <row r="116" spans="1:20" ht="16" x14ac:dyDescent="0.2">
      <c r="A116" s="64" t="s">
        <v>74</v>
      </c>
      <c r="B116" s="64">
        <v>200</v>
      </c>
      <c r="C116" s="64">
        <v>206</v>
      </c>
      <c r="D116" s="64">
        <v>212.18</v>
      </c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8"/>
      <c r="S116" s="8"/>
      <c r="T116" s="8"/>
    </row>
    <row r="117" spans="1:20" ht="16" x14ac:dyDescent="0.2">
      <c r="A117" s="64" t="s">
        <v>406</v>
      </c>
      <c r="B117" s="64">
        <v>100</v>
      </c>
      <c r="C117" s="64">
        <v>103</v>
      </c>
      <c r="D117" s="64">
        <v>106.09</v>
      </c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8"/>
      <c r="S117" s="8"/>
      <c r="T117" s="8"/>
    </row>
    <row r="118" spans="1:20" ht="16" x14ac:dyDescent="0.2">
      <c r="A118" s="69" t="s">
        <v>178</v>
      </c>
      <c r="B118" s="54">
        <v>0</v>
      </c>
      <c r="C118" s="54">
        <v>0</v>
      </c>
      <c r="D118" s="54">
        <v>0</v>
      </c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8"/>
      <c r="S118" s="8"/>
      <c r="T118" s="8"/>
    </row>
    <row r="119" spans="1:20" ht="16" x14ac:dyDescent="0.2">
      <c r="A119" s="64" t="s">
        <v>179</v>
      </c>
      <c r="B119" s="64">
        <f>SUM(B110:B118)</f>
        <v>2050</v>
      </c>
      <c r="C119" s="64">
        <f t="shared" ref="C119:D119" si="5">SUM(C110:C118)</f>
        <v>2445</v>
      </c>
      <c r="D119" s="64">
        <f t="shared" si="5"/>
        <v>2791.3500000000004</v>
      </c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8"/>
      <c r="S119" s="8"/>
      <c r="T119" s="8"/>
    </row>
    <row r="120" spans="1:20" ht="16" x14ac:dyDescent="0.2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8"/>
      <c r="S120" s="8"/>
      <c r="T120" s="8"/>
    </row>
    <row r="121" spans="1:20" ht="16" x14ac:dyDescent="0.2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8"/>
      <c r="S121" s="8"/>
      <c r="T121" s="8"/>
    </row>
    <row r="122" spans="1:20" ht="16" x14ac:dyDescent="0.2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8"/>
      <c r="S122" s="8"/>
      <c r="T122" s="8"/>
    </row>
    <row r="123" spans="1:20" ht="16" x14ac:dyDescent="0.2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8"/>
      <c r="S123" s="8"/>
      <c r="T123" s="8"/>
    </row>
    <row r="124" spans="1:20" ht="19" x14ac:dyDescent="0.25">
      <c r="A124" s="127" t="s">
        <v>181</v>
      </c>
      <c r="B124" s="127"/>
      <c r="C124" s="127"/>
      <c r="D124" s="127"/>
      <c r="E124" s="127"/>
      <c r="F124" s="127"/>
      <c r="G124" s="127"/>
      <c r="H124" s="127"/>
      <c r="I124" s="127"/>
      <c r="J124" s="53"/>
      <c r="K124" s="53"/>
      <c r="L124" s="53"/>
      <c r="M124" s="53"/>
      <c r="N124" s="53"/>
      <c r="O124" s="53"/>
      <c r="P124" s="53"/>
      <c r="Q124" s="53"/>
      <c r="R124" s="8"/>
      <c r="S124" s="8"/>
      <c r="T124" s="8"/>
    </row>
    <row r="125" spans="1:20" ht="16" x14ac:dyDescent="0.2">
      <c r="A125" s="11" t="s">
        <v>35</v>
      </c>
      <c r="B125" s="11" t="s">
        <v>182</v>
      </c>
      <c r="C125" s="11" t="s">
        <v>89</v>
      </c>
      <c r="D125" s="11" t="s">
        <v>183</v>
      </c>
      <c r="E125" s="11" t="s">
        <v>184</v>
      </c>
      <c r="F125" s="11" t="s">
        <v>185</v>
      </c>
      <c r="G125" s="11" t="s">
        <v>280</v>
      </c>
      <c r="H125" s="11" t="s">
        <v>281</v>
      </c>
      <c r="I125" s="11" t="s">
        <v>282</v>
      </c>
      <c r="J125" s="53"/>
      <c r="K125" s="53"/>
      <c r="L125" s="53"/>
      <c r="M125" s="53"/>
      <c r="N125" s="53"/>
      <c r="O125" s="53"/>
      <c r="P125" s="53"/>
      <c r="Q125" s="53"/>
      <c r="R125" s="8"/>
      <c r="S125" s="8"/>
      <c r="T125" s="8"/>
    </row>
    <row r="126" spans="1:20" ht="16" x14ac:dyDescent="0.2">
      <c r="A126" s="54" t="s">
        <v>76</v>
      </c>
      <c r="B126" s="54">
        <v>30000</v>
      </c>
      <c r="C126" s="54">
        <v>7</v>
      </c>
      <c r="D126" s="54">
        <f>B126/C126</f>
        <v>4285.7142857142853</v>
      </c>
      <c r="E126" s="54">
        <f>D126/12</f>
        <v>357.14285714285711</v>
      </c>
      <c r="F126" s="54">
        <f>E126*3</f>
        <v>1071.4285714285713</v>
      </c>
      <c r="G126" s="54">
        <f>D126/12</f>
        <v>357.14285714285711</v>
      </c>
      <c r="H126" s="54">
        <v>357.14</v>
      </c>
      <c r="I126" s="54">
        <v>357.14</v>
      </c>
      <c r="J126" s="53"/>
      <c r="K126" s="53"/>
      <c r="L126" s="53"/>
      <c r="M126" s="53"/>
      <c r="N126" s="53"/>
      <c r="O126" s="53"/>
      <c r="P126" s="53"/>
      <c r="Q126" s="53"/>
      <c r="R126" s="8"/>
      <c r="S126" s="8"/>
      <c r="T126" s="8"/>
    </row>
    <row r="127" spans="1:20" ht="16" x14ac:dyDescent="0.2">
      <c r="A127" s="54" t="s">
        <v>77</v>
      </c>
      <c r="B127" s="54">
        <v>18000</v>
      </c>
      <c r="C127" s="54">
        <v>5</v>
      </c>
      <c r="D127" s="54">
        <f t="shared" ref="D127:D133" si="6">B127/C127</f>
        <v>3600</v>
      </c>
      <c r="E127" s="54">
        <f t="shared" ref="E127:E133" si="7">D127/12</f>
        <v>300</v>
      </c>
      <c r="F127" s="54">
        <f t="shared" ref="F127:F133" si="8">E127*3</f>
        <v>900</v>
      </c>
      <c r="G127" s="54">
        <f t="shared" ref="G127:G133" si="9">D127/12</f>
        <v>300</v>
      </c>
      <c r="H127" s="54">
        <v>300</v>
      </c>
      <c r="I127" s="54">
        <v>300</v>
      </c>
      <c r="J127" s="53"/>
      <c r="K127" s="53"/>
      <c r="L127" s="53"/>
      <c r="M127" s="53"/>
      <c r="N127" s="53"/>
      <c r="O127" s="53"/>
      <c r="P127" s="53"/>
      <c r="Q127" s="53"/>
      <c r="R127" s="8"/>
      <c r="S127" s="8"/>
      <c r="T127" s="8"/>
    </row>
    <row r="128" spans="1:20" ht="16" x14ac:dyDescent="0.2">
      <c r="A128" s="54" t="s">
        <v>78</v>
      </c>
      <c r="B128" s="54">
        <v>3500</v>
      </c>
      <c r="C128" s="54">
        <v>1</v>
      </c>
      <c r="D128" s="54">
        <f t="shared" si="6"/>
        <v>3500</v>
      </c>
      <c r="E128" s="54">
        <f t="shared" si="7"/>
        <v>291.66666666666669</v>
      </c>
      <c r="F128" s="54">
        <f t="shared" si="8"/>
        <v>875</v>
      </c>
      <c r="G128" s="54">
        <f t="shared" si="9"/>
        <v>291.66666666666669</v>
      </c>
      <c r="H128" s="54">
        <v>0</v>
      </c>
      <c r="I128" s="54">
        <v>0</v>
      </c>
      <c r="J128" s="53"/>
      <c r="K128" s="53"/>
      <c r="L128" s="53"/>
      <c r="M128" s="53"/>
      <c r="N128" s="53"/>
      <c r="O128" s="53"/>
      <c r="P128" s="53"/>
      <c r="Q128" s="53"/>
      <c r="R128" s="8"/>
      <c r="S128" s="8"/>
      <c r="T128" s="8"/>
    </row>
    <row r="129" spans="1:20" ht="16" x14ac:dyDescent="0.2">
      <c r="A129" s="54" t="s">
        <v>186</v>
      </c>
      <c r="B129" s="54">
        <v>1000</v>
      </c>
      <c r="C129" s="54">
        <v>2</v>
      </c>
      <c r="D129" s="54">
        <f t="shared" si="6"/>
        <v>500</v>
      </c>
      <c r="E129" s="54">
        <f t="shared" si="7"/>
        <v>41.666666666666664</v>
      </c>
      <c r="F129" s="54">
        <f t="shared" si="8"/>
        <v>125</v>
      </c>
      <c r="G129" s="54">
        <f t="shared" si="9"/>
        <v>41.666666666666664</v>
      </c>
      <c r="H129" s="54">
        <v>41.67</v>
      </c>
      <c r="I129" s="54">
        <v>0</v>
      </c>
      <c r="J129" s="53"/>
      <c r="K129" s="53"/>
      <c r="L129" s="53"/>
      <c r="M129" s="53"/>
      <c r="N129" s="53"/>
      <c r="O129" s="53"/>
      <c r="P129" s="53"/>
      <c r="Q129" s="53"/>
      <c r="R129" s="8"/>
      <c r="S129" s="8"/>
      <c r="T129" s="8"/>
    </row>
    <row r="130" spans="1:20" ht="16" x14ac:dyDescent="0.2">
      <c r="A130" s="54" t="s">
        <v>81</v>
      </c>
      <c r="B130" s="54">
        <v>1200</v>
      </c>
      <c r="C130" s="54">
        <v>1</v>
      </c>
      <c r="D130" s="54">
        <f t="shared" si="6"/>
        <v>1200</v>
      </c>
      <c r="E130" s="54">
        <f t="shared" si="7"/>
        <v>100</v>
      </c>
      <c r="F130" s="54">
        <f t="shared" si="8"/>
        <v>300</v>
      </c>
      <c r="G130" s="54">
        <f t="shared" si="9"/>
        <v>100</v>
      </c>
      <c r="H130" s="54">
        <v>0</v>
      </c>
      <c r="I130" s="54">
        <v>0</v>
      </c>
      <c r="J130" s="53"/>
      <c r="K130" s="53"/>
      <c r="L130" s="53"/>
      <c r="M130" s="53"/>
      <c r="N130" s="53"/>
      <c r="O130" s="53"/>
      <c r="P130" s="53"/>
      <c r="Q130" s="53"/>
      <c r="R130" s="8"/>
      <c r="S130" s="8"/>
      <c r="T130" s="8"/>
    </row>
    <row r="131" spans="1:20" ht="16" x14ac:dyDescent="0.2">
      <c r="A131" s="54" t="s">
        <v>187</v>
      </c>
      <c r="B131" s="54">
        <v>800</v>
      </c>
      <c r="C131" s="54">
        <v>1</v>
      </c>
      <c r="D131" s="54">
        <f t="shared" si="6"/>
        <v>800</v>
      </c>
      <c r="E131" s="54">
        <f t="shared" si="7"/>
        <v>66.666666666666671</v>
      </c>
      <c r="F131" s="54">
        <f t="shared" si="8"/>
        <v>200</v>
      </c>
      <c r="G131" s="54">
        <f t="shared" si="9"/>
        <v>66.666666666666671</v>
      </c>
      <c r="H131" s="54">
        <v>0</v>
      </c>
      <c r="I131" s="54">
        <v>0</v>
      </c>
      <c r="J131" s="53"/>
      <c r="K131" s="53"/>
      <c r="L131" s="53"/>
      <c r="M131" s="53"/>
      <c r="N131" s="53"/>
      <c r="O131" s="53"/>
      <c r="P131" s="53"/>
      <c r="Q131" s="53"/>
      <c r="R131" s="8"/>
      <c r="S131" s="8"/>
      <c r="T131" s="8"/>
    </row>
    <row r="132" spans="1:20" ht="16" x14ac:dyDescent="0.2">
      <c r="A132" s="54" t="s">
        <v>188</v>
      </c>
      <c r="B132" s="54">
        <v>1000</v>
      </c>
      <c r="C132" s="54">
        <v>3</v>
      </c>
      <c r="D132" s="54">
        <f t="shared" si="6"/>
        <v>333.33333333333331</v>
      </c>
      <c r="E132" s="54">
        <f t="shared" si="7"/>
        <v>27.777777777777775</v>
      </c>
      <c r="F132" s="54">
        <f t="shared" si="8"/>
        <v>83.333333333333329</v>
      </c>
      <c r="G132" s="54">
        <f t="shared" si="9"/>
        <v>27.777777777777775</v>
      </c>
      <c r="H132" s="54">
        <v>83.33</v>
      </c>
      <c r="I132" s="54">
        <v>83.33</v>
      </c>
      <c r="J132" s="53"/>
      <c r="K132" s="53"/>
      <c r="L132" s="53"/>
      <c r="M132" s="53"/>
      <c r="N132" s="53"/>
      <c r="O132" s="53"/>
      <c r="P132" s="53"/>
      <c r="Q132" s="53"/>
      <c r="R132" s="8"/>
      <c r="S132" s="8"/>
      <c r="T132" s="8"/>
    </row>
    <row r="133" spans="1:20" ht="16" x14ac:dyDescent="0.2">
      <c r="A133" s="54" t="s">
        <v>85</v>
      </c>
      <c r="B133" s="54">
        <v>2500</v>
      </c>
      <c r="C133" s="54">
        <v>3</v>
      </c>
      <c r="D133" s="54">
        <f t="shared" si="6"/>
        <v>833.33333333333337</v>
      </c>
      <c r="E133" s="54">
        <f t="shared" si="7"/>
        <v>69.444444444444443</v>
      </c>
      <c r="F133" s="54">
        <f t="shared" si="8"/>
        <v>208.33333333333331</v>
      </c>
      <c r="G133" s="54">
        <f t="shared" si="9"/>
        <v>69.444444444444443</v>
      </c>
      <c r="H133" s="54">
        <v>69.44</v>
      </c>
      <c r="I133" s="54">
        <v>69.44</v>
      </c>
      <c r="J133" s="53"/>
      <c r="K133" s="53"/>
      <c r="L133" s="53"/>
      <c r="M133" s="53"/>
      <c r="N133" s="53"/>
      <c r="O133" s="53"/>
      <c r="P133" s="53"/>
      <c r="Q133" s="53"/>
      <c r="R133" s="8"/>
      <c r="S133" s="8"/>
      <c r="T133" s="8"/>
    </row>
    <row r="134" spans="1:20" ht="16" x14ac:dyDescent="0.2">
      <c r="A134" s="11" t="s">
        <v>48</v>
      </c>
      <c r="B134" s="54">
        <f>SUM(B126:B133)</f>
        <v>58000</v>
      </c>
      <c r="C134" s="54" t="s">
        <v>129</v>
      </c>
      <c r="D134" s="11">
        <f>SUM(D126:D133)</f>
        <v>15052.380952380954</v>
      </c>
      <c r="E134" s="11">
        <f t="shared" ref="E134:I134" si="10">SUM(E126:E133)</f>
        <v>1254.3650793650793</v>
      </c>
      <c r="F134" s="11">
        <f t="shared" si="10"/>
        <v>3763.0952380952385</v>
      </c>
      <c r="G134" s="11">
        <f t="shared" si="10"/>
        <v>1254.3650793650793</v>
      </c>
      <c r="H134" s="11">
        <f t="shared" si="10"/>
        <v>851.57999999999993</v>
      </c>
      <c r="I134" s="11">
        <f t="shared" si="10"/>
        <v>809.91000000000008</v>
      </c>
      <c r="J134" s="53"/>
      <c r="K134" s="53"/>
      <c r="L134" s="53"/>
      <c r="M134" s="53"/>
      <c r="N134" s="53"/>
      <c r="O134" s="53"/>
      <c r="P134" s="53"/>
      <c r="Q134" s="53"/>
      <c r="R134" s="8"/>
      <c r="S134" s="8"/>
      <c r="T134" s="8"/>
    </row>
    <row r="135" spans="1:20" ht="16" x14ac:dyDescent="0.2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8"/>
      <c r="S135" s="8"/>
      <c r="T135" s="8"/>
    </row>
    <row r="136" spans="1:20" ht="16" x14ac:dyDescent="0.2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8"/>
      <c r="S136" s="8"/>
      <c r="T136" s="8"/>
    </row>
    <row r="137" spans="1:20" ht="19" x14ac:dyDescent="0.25">
      <c r="A137" s="127" t="s">
        <v>216</v>
      </c>
      <c r="B137" s="127"/>
      <c r="C137" s="127"/>
      <c r="D137" s="127"/>
      <c r="E137" s="127"/>
      <c r="F137" s="127"/>
      <c r="G137" s="127"/>
      <c r="H137" s="53"/>
      <c r="I137" s="53"/>
      <c r="J137" s="53"/>
      <c r="K137" s="13"/>
      <c r="L137" s="53"/>
      <c r="M137" s="53"/>
      <c r="N137" s="53"/>
      <c r="O137" s="53"/>
      <c r="P137" s="53"/>
      <c r="Q137" s="53"/>
      <c r="R137" s="8"/>
      <c r="S137" s="8"/>
      <c r="T137" s="8"/>
    </row>
    <row r="138" spans="1:20" ht="16" x14ac:dyDescent="0.2">
      <c r="A138" s="70" t="s">
        <v>189</v>
      </c>
      <c r="B138" s="70" t="s">
        <v>190</v>
      </c>
      <c r="C138" s="70" t="s">
        <v>191</v>
      </c>
      <c r="D138" s="70" t="s">
        <v>192</v>
      </c>
      <c r="E138" s="70" t="s">
        <v>193</v>
      </c>
      <c r="F138" s="70" t="s">
        <v>194</v>
      </c>
      <c r="G138" s="70" t="s">
        <v>0</v>
      </c>
      <c r="H138" s="53"/>
      <c r="I138" s="53"/>
      <c r="J138" s="53"/>
      <c r="K138" s="71"/>
      <c r="L138" s="71"/>
      <c r="M138" s="71"/>
      <c r="N138" s="71"/>
      <c r="O138" s="71"/>
      <c r="P138" s="71"/>
      <c r="Q138" s="71"/>
      <c r="R138" s="8"/>
      <c r="S138" s="8"/>
      <c r="T138" s="8"/>
    </row>
    <row r="139" spans="1:20" ht="16" x14ac:dyDescent="0.2">
      <c r="A139" s="54" t="s">
        <v>226</v>
      </c>
      <c r="B139" s="54">
        <f>Hypothèses!B87</f>
        <v>90000</v>
      </c>
      <c r="C139" s="54">
        <f>B139*(Hypothèses!$B$91/12)</f>
        <v>300</v>
      </c>
      <c r="D139" s="54">
        <f>E139-C139</f>
        <v>930.19257028405696</v>
      </c>
      <c r="E139" s="54">
        <f>('Coûts &amp; variables'!$B$139*(Hypothèses!$B$91/12))/(1-(1+(Hypothèses!$B$91/12))^(-Hypothèses!$B$92*12))</f>
        <v>1230.192570284057</v>
      </c>
      <c r="F139" s="54">
        <f>B139-D139</f>
        <v>89069.807429715947</v>
      </c>
      <c r="G139" s="54">
        <v>1</v>
      </c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8"/>
      <c r="S139" s="8"/>
      <c r="T139" s="8"/>
    </row>
    <row r="140" spans="1:20" ht="16" x14ac:dyDescent="0.2">
      <c r="A140" s="54" t="s">
        <v>228</v>
      </c>
      <c r="B140" s="54">
        <f>F139</f>
        <v>89069.807429715947</v>
      </c>
      <c r="C140" s="54">
        <f>B140*(Hypothèses!$B$91/12)</f>
        <v>296.89935809905319</v>
      </c>
      <c r="D140" s="54">
        <f t="shared" ref="D140:D203" si="11">E140-C140</f>
        <v>933.29321218500377</v>
      </c>
      <c r="E140" s="54">
        <f>('Coûts &amp; variables'!$B$139*(Hypothèses!$B$91/12))/(1-(1+(Hypothèses!$B$91/12))^(-Hypothèses!$B$92*12))</f>
        <v>1230.192570284057</v>
      </c>
      <c r="F140" s="54">
        <f t="shared" ref="F140:F203" si="12">B140-D140</f>
        <v>88136.514217530945</v>
      </c>
      <c r="G140" s="54">
        <v>1</v>
      </c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8"/>
      <c r="S140" s="8"/>
      <c r="T140" s="8"/>
    </row>
    <row r="141" spans="1:20" ht="16" x14ac:dyDescent="0.2">
      <c r="A141" s="54" t="s">
        <v>229</v>
      </c>
      <c r="B141" s="54">
        <f t="shared" ref="B141:B204" si="13">F140</f>
        <v>88136.514217530945</v>
      </c>
      <c r="C141" s="54">
        <f>B141*(Hypothèses!$B$91/12)</f>
        <v>293.7883807251032</v>
      </c>
      <c r="D141" s="54">
        <f t="shared" si="11"/>
        <v>936.4041895589537</v>
      </c>
      <c r="E141" s="54">
        <f>('Coûts &amp; variables'!$B$139*(Hypothèses!$B$91/12))/(1-(1+(Hypothèses!$B$91/12))^(-Hypothèses!$B$92*12))</f>
        <v>1230.192570284057</v>
      </c>
      <c r="F141" s="54">
        <f t="shared" si="12"/>
        <v>87200.110027971998</v>
      </c>
      <c r="G141" s="54">
        <v>1</v>
      </c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8"/>
      <c r="S141" s="8"/>
      <c r="T141" s="8"/>
    </row>
    <row r="142" spans="1:20" ht="16" x14ac:dyDescent="0.2">
      <c r="A142" s="54" t="s">
        <v>230</v>
      </c>
      <c r="B142" s="54">
        <f t="shared" si="13"/>
        <v>87200.110027971998</v>
      </c>
      <c r="C142" s="54">
        <f>B142*(Hypothèses!$B$91/12)</f>
        <v>290.66703342657337</v>
      </c>
      <c r="D142" s="54">
        <f t="shared" si="11"/>
        <v>939.52553685748353</v>
      </c>
      <c r="E142" s="54">
        <f>('Coûts &amp; variables'!$B$139*(Hypothèses!$B$91/12))/(1-(1+(Hypothèses!$B$91/12))^(-Hypothèses!$B$92*12))</f>
        <v>1230.192570284057</v>
      </c>
      <c r="F142" s="54">
        <f t="shared" si="12"/>
        <v>86260.58449111451</v>
      </c>
      <c r="G142" s="54">
        <v>2</v>
      </c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8"/>
      <c r="S142" s="8"/>
      <c r="T142" s="8"/>
    </row>
    <row r="143" spans="1:20" ht="16" x14ac:dyDescent="0.2">
      <c r="A143" s="54" t="s">
        <v>231</v>
      </c>
      <c r="B143" s="54">
        <f t="shared" si="13"/>
        <v>86260.58449111451</v>
      </c>
      <c r="C143" s="54">
        <f>B143*(Hypothèses!$B$91/12)</f>
        <v>287.5352816370484</v>
      </c>
      <c r="D143" s="54">
        <f t="shared" si="11"/>
        <v>942.6572886470085</v>
      </c>
      <c r="E143" s="54">
        <f>('Coûts &amp; variables'!$B$139*(Hypothèses!$B$91/12))/(1-(1+(Hypothèses!$B$91/12))^(-Hypothèses!$B$92*12))</f>
        <v>1230.192570284057</v>
      </c>
      <c r="F143" s="54">
        <f t="shared" si="12"/>
        <v>85317.927202467501</v>
      </c>
      <c r="G143" s="54">
        <v>2</v>
      </c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8"/>
      <c r="S143" s="8"/>
      <c r="T143" s="8"/>
    </row>
    <row r="144" spans="1:20" ht="16" x14ac:dyDescent="0.2">
      <c r="A144" s="54" t="s">
        <v>232</v>
      </c>
      <c r="B144" s="54">
        <f t="shared" si="13"/>
        <v>85317.927202467501</v>
      </c>
      <c r="C144" s="54">
        <f>B144*(Hypothèses!$B$91/12)</f>
        <v>284.39309067489171</v>
      </c>
      <c r="D144" s="54">
        <f t="shared" si="11"/>
        <v>945.79947960916525</v>
      </c>
      <c r="E144" s="54">
        <f>('Coûts &amp; variables'!$B$139*(Hypothèses!$B$91/12))/(1-(1+(Hypothèses!$B$91/12))^(-Hypothèses!$B$92*12))</f>
        <v>1230.192570284057</v>
      </c>
      <c r="F144" s="54">
        <f t="shared" si="12"/>
        <v>84372.127722858335</v>
      </c>
      <c r="G144" s="54">
        <v>2</v>
      </c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8"/>
      <c r="S144" s="8"/>
      <c r="T144" s="8"/>
    </row>
    <row r="145" spans="1:20" ht="16" x14ac:dyDescent="0.2">
      <c r="A145" s="54" t="s">
        <v>233</v>
      </c>
      <c r="B145" s="54">
        <f t="shared" si="13"/>
        <v>84372.127722858335</v>
      </c>
      <c r="C145" s="54">
        <f>B145*(Hypothèses!$B$91/12)</f>
        <v>281.24042574286113</v>
      </c>
      <c r="D145" s="54">
        <f t="shared" si="11"/>
        <v>948.95214454119582</v>
      </c>
      <c r="E145" s="54">
        <f>('Coûts &amp; variables'!$B$139*(Hypothèses!$B$91/12))/(1-(1+(Hypothèses!$B$91/12))^(-Hypothèses!$B$92*12))</f>
        <v>1230.192570284057</v>
      </c>
      <c r="F145" s="54">
        <f t="shared" si="12"/>
        <v>83423.175578317139</v>
      </c>
      <c r="G145" s="54">
        <v>3</v>
      </c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8"/>
      <c r="S145" s="8"/>
      <c r="T145" s="8"/>
    </row>
    <row r="146" spans="1:20" ht="16" x14ac:dyDescent="0.2">
      <c r="A146" s="54" t="s">
        <v>234</v>
      </c>
      <c r="B146" s="54">
        <f t="shared" si="13"/>
        <v>83423.175578317139</v>
      </c>
      <c r="C146" s="54">
        <f>B146*(Hypothèses!$B$91/12)</f>
        <v>278.07725192772381</v>
      </c>
      <c r="D146" s="54">
        <f t="shared" si="11"/>
        <v>952.11531835633309</v>
      </c>
      <c r="E146" s="54">
        <f>('Coûts &amp; variables'!$B$139*(Hypothèses!$B$91/12))/(1-(1+(Hypothèses!$B$91/12))^(-Hypothèses!$B$92*12))</f>
        <v>1230.192570284057</v>
      </c>
      <c r="F146" s="54">
        <f t="shared" si="12"/>
        <v>82471.06025996081</v>
      </c>
      <c r="G146" s="54">
        <v>3</v>
      </c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8"/>
      <c r="S146" s="8"/>
      <c r="T146" s="8"/>
    </row>
    <row r="147" spans="1:20" ht="16" x14ac:dyDescent="0.2">
      <c r="A147" s="54" t="s">
        <v>235</v>
      </c>
      <c r="B147" s="54">
        <f t="shared" si="13"/>
        <v>82471.06025996081</v>
      </c>
      <c r="C147" s="54">
        <f>B147*(Hypothèses!$B$91/12)</f>
        <v>274.9035341998694</v>
      </c>
      <c r="D147" s="54">
        <f t="shared" si="11"/>
        <v>955.2890360841875</v>
      </c>
      <c r="E147" s="54">
        <f>('Coûts &amp; variables'!$B$139*(Hypothèses!$B$91/12))/(1-(1+(Hypothèses!$B$91/12))^(-Hypothèses!$B$92*12))</f>
        <v>1230.192570284057</v>
      </c>
      <c r="F147" s="54">
        <f t="shared" si="12"/>
        <v>81515.771223876625</v>
      </c>
      <c r="G147" s="54">
        <v>3</v>
      </c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8"/>
      <c r="S147" s="8"/>
      <c r="T147" s="8"/>
    </row>
    <row r="148" spans="1:20" ht="16" x14ac:dyDescent="0.2">
      <c r="A148" s="54" t="s">
        <v>236</v>
      </c>
      <c r="B148" s="54">
        <f t="shared" si="13"/>
        <v>81515.771223876625</v>
      </c>
      <c r="C148" s="54">
        <f>B148*(Hypothèses!$B$91/12)</f>
        <v>271.7192374129221</v>
      </c>
      <c r="D148" s="54">
        <f t="shared" si="11"/>
        <v>958.47333287113486</v>
      </c>
      <c r="E148" s="54">
        <f>('Coûts &amp; variables'!$B$139*(Hypothèses!$B$91/12))/(1-(1+(Hypothèses!$B$91/12))^(-Hypothèses!$B$92*12))</f>
        <v>1230.192570284057</v>
      </c>
      <c r="F148" s="54">
        <f t="shared" si="12"/>
        <v>80557.297891005495</v>
      </c>
      <c r="G148" s="54">
        <v>4</v>
      </c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8"/>
      <c r="S148" s="8"/>
      <c r="T148" s="8"/>
    </row>
    <row r="149" spans="1:20" ht="16" x14ac:dyDescent="0.2">
      <c r="A149" s="54" t="s">
        <v>237</v>
      </c>
      <c r="B149" s="54">
        <f t="shared" si="13"/>
        <v>80557.297891005495</v>
      </c>
      <c r="C149" s="54">
        <f>B149*(Hypothèses!$B$91/12)</f>
        <v>268.52432630335164</v>
      </c>
      <c r="D149" s="54">
        <f t="shared" si="11"/>
        <v>961.66824398070526</v>
      </c>
      <c r="E149" s="54">
        <f>('Coûts &amp; variables'!$B$139*(Hypothèses!$B$91/12))/(1-(1+(Hypothèses!$B$91/12))^(-Hypothèses!$B$92*12))</f>
        <v>1230.192570284057</v>
      </c>
      <c r="F149" s="54">
        <f t="shared" si="12"/>
        <v>79595.629647024791</v>
      </c>
      <c r="G149" s="54">
        <v>4</v>
      </c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8"/>
      <c r="S149" s="8"/>
      <c r="T149" s="8"/>
    </row>
    <row r="150" spans="1:20" ht="16" x14ac:dyDescent="0.2">
      <c r="A150" s="54" t="s">
        <v>238</v>
      </c>
      <c r="B150" s="54">
        <f t="shared" si="13"/>
        <v>79595.629647024791</v>
      </c>
      <c r="C150" s="54">
        <f>B150*(Hypothèses!$B$91/12)</f>
        <v>265.31876549008263</v>
      </c>
      <c r="D150" s="54">
        <f t="shared" si="11"/>
        <v>964.87380479397439</v>
      </c>
      <c r="E150" s="54">
        <f>('Coûts &amp; variables'!$B$139*(Hypothèses!$B$91/12))/(1-(1+(Hypothèses!$B$91/12))^(-Hypothèses!$B$92*12))</f>
        <v>1230.192570284057</v>
      </c>
      <c r="F150" s="54">
        <f t="shared" si="12"/>
        <v>78630.755842230821</v>
      </c>
      <c r="G150" s="54">
        <v>4</v>
      </c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8"/>
      <c r="S150" s="8"/>
      <c r="T150" s="8"/>
    </row>
    <row r="151" spans="1:20" ht="16" x14ac:dyDescent="0.2">
      <c r="A151" s="54" t="s">
        <v>239</v>
      </c>
      <c r="B151" s="54">
        <f t="shared" si="13"/>
        <v>78630.755842230821</v>
      </c>
      <c r="C151" s="54">
        <f>B151*(Hypothèses!$B$91/12)</f>
        <v>262.10251947410273</v>
      </c>
      <c r="D151" s="54">
        <f t="shared" si="11"/>
        <v>968.09005080995416</v>
      </c>
      <c r="E151" s="54">
        <f>('Coûts &amp; variables'!$B$139*(Hypothèses!$B$91/12))/(1-(1+(Hypothèses!$B$91/12))^(-Hypothèses!$B$92*12))</f>
        <v>1230.192570284057</v>
      </c>
      <c r="F151" s="54">
        <f t="shared" si="12"/>
        <v>77662.665791420863</v>
      </c>
      <c r="G151" s="54">
        <v>5</v>
      </c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8"/>
      <c r="S151" s="8"/>
      <c r="T151" s="8"/>
    </row>
    <row r="152" spans="1:20" ht="16" x14ac:dyDescent="0.2">
      <c r="A152" s="54" t="s">
        <v>240</v>
      </c>
      <c r="B152" s="54">
        <f t="shared" si="13"/>
        <v>77662.665791420863</v>
      </c>
      <c r="C152" s="54">
        <f>B152*(Hypothèses!$B$91/12)</f>
        <v>258.87555263806956</v>
      </c>
      <c r="D152" s="54">
        <f t="shared" si="11"/>
        <v>971.31701764598733</v>
      </c>
      <c r="E152" s="54">
        <f>('Coûts &amp; variables'!$B$139*(Hypothèses!$B$91/12))/(1-(1+(Hypothèses!$B$91/12))^(-Hypothèses!$B$92*12))</f>
        <v>1230.192570284057</v>
      </c>
      <c r="F152" s="54">
        <f t="shared" si="12"/>
        <v>76691.34877377488</v>
      </c>
      <c r="G152" s="54">
        <v>5</v>
      </c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8"/>
      <c r="S152" s="8"/>
      <c r="T152" s="8"/>
    </row>
    <row r="153" spans="1:20" ht="16" x14ac:dyDescent="0.2">
      <c r="A153" s="54" t="s">
        <v>241</v>
      </c>
      <c r="B153" s="54">
        <f t="shared" si="13"/>
        <v>76691.34877377488</v>
      </c>
      <c r="C153" s="54">
        <f>B153*(Hypothèses!$B$91/12)</f>
        <v>255.63782924591629</v>
      </c>
      <c r="D153" s="54">
        <f t="shared" si="11"/>
        <v>974.55474103814072</v>
      </c>
      <c r="E153" s="54">
        <f>('Coûts &amp; variables'!$B$139*(Hypothèses!$B$91/12))/(1-(1+(Hypothèses!$B$91/12))^(-Hypothèses!$B$92*12))</f>
        <v>1230.192570284057</v>
      </c>
      <c r="F153" s="54">
        <f t="shared" si="12"/>
        <v>75716.79403273674</v>
      </c>
      <c r="G153" s="54">
        <v>5</v>
      </c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8"/>
      <c r="S153" s="8"/>
      <c r="T153" s="8"/>
    </row>
    <row r="154" spans="1:20" ht="16" x14ac:dyDescent="0.2">
      <c r="A154" s="54" t="s">
        <v>242</v>
      </c>
      <c r="B154" s="54">
        <f t="shared" si="13"/>
        <v>75716.79403273674</v>
      </c>
      <c r="C154" s="54">
        <f>B154*(Hypothèses!$B$91/12)</f>
        <v>252.3893134424558</v>
      </c>
      <c r="D154" s="54">
        <f t="shared" si="11"/>
        <v>977.80325684160118</v>
      </c>
      <c r="E154" s="54">
        <f>('Coûts &amp; variables'!$B$139*(Hypothèses!$B$91/12))/(1-(1+(Hypothèses!$B$91/12))^(-Hypothèses!$B$92*12))</f>
        <v>1230.192570284057</v>
      </c>
      <c r="F154" s="54">
        <f t="shared" si="12"/>
        <v>74738.990775895145</v>
      </c>
      <c r="G154" s="54">
        <v>6</v>
      </c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8"/>
      <c r="S154" s="8"/>
      <c r="T154" s="8"/>
    </row>
    <row r="155" spans="1:20" ht="16" x14ac:dyDescent="0.2">
      <c r="A155" s="54" t="s">
        <v>243</v>
      </c>
      <c r="B155" s="54">
        <f t="shared" si="13"/>
        <v>74738.990775895145</v>
      </c>
      <c r="C155" s="54">
        <f>B155*(Hypothèses!$B$91/12)</f>
        <v>249.12996925298384</v>
      </c>
      <c r="D155" s="54">
        <f t="shared" si="11"/>
        <v>981.06260103107309</v>
      </c>
      <c r="E155" s="54">
        <f>('Coûts &amp; variables'!$B$139*(Hypothèses!$B$91/12))/(1-(1+(Hypothèses!$B$91/12))^(-Hypothèses!$B$92*12))</f>
        <v>1230.192570284057</v>
      </c>
      <c r="F155" s="54">
        <f t="shared" si="12"/>
        <v>73757.928174864079</v>
      </c>
      <c r="G155" s="54">
        <v>6</v>
      </c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8"/>
      <c r="S155" s="8"/>
      <c r="T155" s="8"/>
    </row>
    <row r="156" spans="1:20" ht="16" x14ac:dyDescent="0.2">
      <c r="A156" s="54" t="s">
        <v>244</v>
      </c>
      <c r="B156" s="54">
        <f t="shared" si="13"/>
        <v>73757.928174864079</v>
      </c>
      <c r="C156" s="54">
        <f>B156*(Hypothèses!$B$91/12)</f>
        <v>245.85976058288028</v>
      </c>
      <c r="D156" s="54">
        <f t="shared" si="11"/>
        <v>984.33280970117664</v>
      </c>
      <c r="E156" s="54">
        <f>('Coûts &amp; variables'!$B$139*(Hypothèses!$B$91/12))/(1-(1+(Hypothèses!$B$91/12))^(-Hypothèses!$B$92*12))</f>
        <v>1230.192570284057</v>
      </c>
      <c r="F156" s="54">
        <f t="shared" si="12"/>
        <v>72773.595365162895</v>
      </c>
      <c r="G156" s="54">
        <v>6</v>
      </c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8"/>
      <c r="S156" s="8"/>
      <c r="T156" s="8"/>
    </row>
    <row r="157" spans="1:20" ht="16" x14ac:dyDescent="0.2">
      <c r="A157" s="54" t="s">
        <v>245</v>
      </c>
      <c r="B157" s="54">
        <f t="shared" si="13"/>
        <v>72773.595365162895</v>
      </c>
      <c r="C157" s="54">
        <f>B157*(Hypothèses!$B$91/12)</f>
        <v>242.57865121720965</v>
      </c>
      <c r="D157" s="54">
        <f t="shared" si="11"/>
        <v>987.6139190668473</v>
      </c>
      <c r="E157" s="54">
        <f>('Coûts &amp; variables'!$B$139*(Hypothèses!$B$91/12))/(1-(1+(Hypothèses!$B$91/12))^(-Hypothèses!$B$92*12))</f>
        <v>1230.192570284057</v>
      </c>
      <c r="F157" s="54">
        <f t="shared" si="12"/>
        <v>71785.981446096048</v>
      </c>
      <c r="G157" s="54">
        <v>7</v>
      </c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8"/>
      <c r="S157" s="8"/>
      <c r="T157" s="8"/>
    </row>
    <row r="158" spans="1:20" ht="16" x14ac:dyDescent="0.2">
      <c r="A158" s="54" t="s">
        <v>246</v>
      </c>
      <c r="B158" s="54">
        <f t="shared" si="13"/>
        <v>71785.981446096048</v>
      </c>
      <c r="C158" s="54">
        <f>B158*(Hypothèses!$B$91/12)</f>
        <v>239.28660482032018</v>
      </c>
      <c r="D158" s="54">
        <f t="shared" si="11"/>
        <v>990.90596546373672</v>
      </c>
      <c r="E158" s="54">
        <f>('Coûts &amp; variables'!$B$139*(Hypothèses!$B$91/12))/(1-(1+(Hypothèses!$B$91/12))^(-Hypothèses!$B$92*12))</f>
        <v>1230.192570284057</v>
      </c>
      <c r="F158" s="54">
        <f t="shared" si="12"/>
        <v>70795.075480632309</v>
      </c>
      <c r="G158" s="54">
        <v>7</v>
      </c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8"/>
      <c r="S158" s="8"/>
      <c r="T158" s="8"/>
    </row>
    <row r="159" spans="1:20" ht="16" x14ac:dyDescent="0.2">
      <c r="A159" s="54" t="s">
        <v>247</v>
      </c>
      <c r="B159" s="54">
        <f t="shared" si="13"/>
        <v>70795.075480632309</v>
      </c>
      <c r="C159" s="54">
        <f>B159*(Hypothèses!$B$91/12)</f>
        <v>235.98358493544106</v>
      </c>
      <c r="D159" s="54">
        <f t="shared" si="11"/>
        <v>994.2089853486159</v>
      </c>
      <c r="E159" s="54">
        <f>('Coûts &amp; variables'!$B$139*(Hypothèses!$B$91/12))/(1-(1+(Hypothèses!$B$91/12))^(-Hypothèses!$B$92*12))</f>
        <v>1230.192570284057</v>
      </c>
      <c r="F159" s="54">
        <f t="shared" si="12"/>
        <v>69800.866495283699</v>
      </c>
      <c r="G159" s="54">
        <v>7</v>
      </c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8"/>
      <c r="S159" s="8"/>
      <c r="T159" s="8"/>
    </row>
    <row r="160" spans="1:20" ht="16" x14ac:dyDescent="0.2">
      <c r="A160" s="54" t="s">
        <v>248</v>
      </c>
      <c r="B160" s="54">
        <f t="shared" si="13"/>
        <v>69800.866495283699</v>
      </c>
      <c r="C160" s="54">
        <f>B160*(Hypothèses!$B$91/12)</f>
        <v>232.66955498427902</v>
      </c>
      <c r="D160" s="54">
        <f t="shared" si="11"/>
        <v>997.52301529977797</v>
      </c>
      <c r="E160" s="54">
        <f>('Coûts &amp; variables'!$B$139*(Hypothèses!$B$91/12))/(1-(1+(Hypothèses!$B$91/12))^(-Hypothèses!$B$92*12))</f>
        <v>1230.192570284057</v>
      </c>
      <c r="F160" s="54">
        <f t="shared" si="12"/>
        <v>68803.343479983916</v>
      </c>
      <c r="G160" s="54">
        <v>8</v>
      </c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8"/>
      <c r="S160" s="8"/>
      <c r="T160" s="8"/>
    </row>
    <row r="161" spans="1:20" ht="16" x14ac:dyDescent="0.2">
      <c r="A161" s="54" t="s">
        <v>249</v>
      </c>
      <c r="B161" s="54">
        <f t="shared" si="13"/>
        <v>68803.343479983916</v>
      </c>
      <c r="C161" s="54">
        <f>B161*(Hypothèses!$B$91/12)</f>
        <v>229.34447826661307</v>
      </c>
      <c r="D161" s="54">
        <f t="shared" si="11"/>
        <v>1000.8480920174438</v>
      </c>
      <c r="E161" s="54">
        <f>('Coûts &amp; variables'!$B$139*(Hypothèses!$B$91/12))/(1-(1+(Hypothèses!$B$91/12))^(-Hypothèses!$B$92*12))</f>
        <v>1230.192570284057</v>
      </c>
      <c r="F161" s="54">
        <f t="shared" si="12"/>
        <v>67802.495387966468</v>
      </c>
      <c r="G161" s="54">
        <v>8</v>
      </c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8"/>
      <c r="S161" s="8"/>
      <c r="T161" s="8"/>
    </row>
    <row r="162" spans="1:20" ht="16" x14ac:dyDescent="0.2">
      <c r="A162" s="54" t="s">
        <v>250</v>
      </c>
      <c r="B162" s="54">
        <f t="shared" si="13"/>
        <v>67802.495387966468</v>
      </c>
      <c r="C162" s="54">
        <f>B162*(Hypothèses!$B$91/12)</f>
        <v>226.00831795988825</v>
      </c>
      <c r="D162" s="54">
        <f t="shared" si="11"/>
        <v>1004.1842523241687</v>
      </c>
      <c r="E162" s="54">
        <f>('Coûts &amp; variables'!$B$139*(Hypothèses!$B$91/12))/(1-(1+(Hypothèses!$B$91/12))^(-Hypothèses!$B$92*12))</f>
        <v>1230.192570284057</v>
      </c>
      <c r="F162" s="54">
        <f t="shared" si="12"/>
        <v>66798.311135642303</v>
      </c>
      <c r="G162" s="54">
        <v>8</v>
      </c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8"/>
      <c r="S162" s="8"/>
      <c r="T162" s="8"/>
    </row>
    <row r="163" spans="1:20" ht="16" x14ac:dyDescent="0.2">
      <c r="A163" s="54" t="s">
        <v>251</v>
      </c>
      <c r="B163" s="54">
        <f t="shared" si="13"/>
        <v>66798.311135642303</v>
      </c>
      <c r="C163" s="54">
        <f>B163*(Hypothèses!$B$91/12)</f>
        <v>222.66103711880768</v>
      </c>
      <c r="D163" s="54">
        <f t="shared" si="11"/>
        <v>1007.5315331652492</v>
      </c>
      <c r="E163" s="54">
        <f>('Coûts &amp; variables'!$B$139*(Hypothèses!$B$91/12))/(1-(1+(Hypothèses!$B$91/12))^(-Hypothèses!$B$92*12))</f>
        <v>1230.192570284057</v>
      </c>
      <c r="F163" s="54">
        <f t="shared" si="12"/>
        <v>65790.779602477051</v>
      </c>
      <c r="G163" s="54">
        <v>9</v>
      </c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8"/>
      <c r="S163" s="8"/>
      <c r="T163" s="8"/>
    </row>
    <row r="164" spans="1:20" ht="16" x14ac:dyDescent="0.2">
      <c r="A164" s="54" t="s">
        <v>252</v>
      </c>
      <c r="B164" s="54">
        <f t="shared" si="13"/>
        <v>65790.779602477051</v>
      </c>
      <c r="C164" s="54">
        <f>B164*(Hypothèses!$B$91/12)</f>
        <v>219.3025986749235</v>
      </c>
      <c r="D164" s="54">
        <f t="shared" si="11"/>
        <v>1010.8899716091335</v>
      </c>
      <c r="E164" s="54">
        <f>('Coûts &amp; variables'!$B$139*(Hypothèses!$B$91/12))/(1-(1+(Hypothèses!$B$91/12))^(-Hypothèses!$B$92*12))</f>
        <v>1230.192570284057</v>
      </c>
      <c r="F164" s="54">
        <f t="shared" si="12"/>
        <v>64779.889630867918</v>
      </c>
      <c r="G164" s="54">
        <v>9</v>
      </c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8"/>
      <c r="S164" s="8"/>
      <c r="T164" s="8"/>
    </row>
    <row r="165" spans="1:20" ht="16" x14ac:dyDescent="0.2">
      <c r="A165" s="54" t="s">
        <v>253</v>
      </c>
      <c r="B165" s="54">
        <f t="shared" si="13"/>
        <v>64779.889630867918</v>
      </c>
      <c r="C165" s="54">
        <f>B165*(Hypothèses!$B$91/12)</f>
        <v>215.9329654362264</v>
      </c>
      <c r="D165" s="54">
        <f t="shared" si="11"/>
        <v>1014.2596048478306</v>
      </c>
      <c r="E165" s="54">
        <f>('Coûts &amp; variables'!$B$139*(Hypothèses!$B$91/12))/(1-(1+(Hypothèses!$B$91/12))^(-Hypothèses!$B$92*12))</f>
        <v>1230.192570284057</v>
      </c>
      <c r="F165" s="54">
        <f t="shared" si="12"/>
        <v>63765.630026020088</v>
      </c>
      <c r="G165" s="54">
        <v>9</v>
      </c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8"/>
      <c r="S165" s="8"/>
      <c r="T165" s="8"/>
    </row>
    <row r="166" spans="1:20" ht="16" x14ac:dyDescent="0.2">
      <c r="A166" s="54" t="s">
        <v>254</v>
      </c>
      <c r="B166" s="54">
        <f t="shared" si="13"/>
        <v>63765.630026020088</v>
      </c>
      <c r="C166" s="54">
        <f>B166*(Hypothèses!$B$91/12)</f>
        <v>212.55210008673365</v>
      </c>
      <c r="D166" s="54">
        <f t="shared" si="11"/>
        <v>1017.6404701973233</v>
      </c>
      <c r="E166" s="54">
        <f>('Coûts &amp; variables'!$B$139*(Hypothèses!$B$91/12))/(1-(1+(Hypothèses!$B$91/12))^(-Hypothèses!$B$92*12))</f>
        <v>1230.192570284057</v>
      </c>
      <c r="F166" s="54">
        <f t="shared" si="12"/>
        <v>62747.989555822765</v>
      </c>
      <c r="G166" s="54">
        <v>10</v>
      </c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8"/>
      <c r="S166" s="8"/>
      <c r="T166" s="8"/>
    </row>
    <row r="167" spans="1:20" ht="16" x14ac:dyDescent="0.2">
      <c r="A167" s="54" t="s">
        <v>255</v>
      </c>
      <c r="B167" s="54">
        <f t="shared" si="13"/>
        <v>62747.989555822765</v>
      </c>
      <c r="C167" s="54">
        <f>B167*(Hypothèses!$B$91/12)</f>
        <v>209.15996518607591</v>
      </c>
      <c r="D167" s="54">
        <f t="shared" si="11"/>
        <v>1021.0326050979811</v>
      </c>
      <c r="E167" s="54">
        <f>('Coûts &amp; variables'!$B$139*(Hypothèses!$B$91/12))/(1-(1+(Hypothèses!$B$91/12))^(-Hypothèses!$B$92*12))</f>
        <v>1230.192570284057</v>
      </c>
      <c r="F167" s="54">
        <f t="shared" si="12"/>
        <v>61726.956950724787</v>
      </c>
      <c r="G167" s="54">
        <v>10</v>
      </c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8"/>
      <c r="S167" s="8"/>
      <c r="T167" s="8"/>
    </row>
    <row r="168" spans="1:20" ht="16" x14ac:dyDescent="0.2">
      <c r="A168" s="54" t="s">
        <v>256</v>
      </c>
      <c r="B168" s="54">
        <f t="shared" si="13"/>
        <v>61726.956950724787</v>
      </c>
      <c r="C168" s="54">
        <f>B168*(Hypothèses!$B$91/12)</f>
        <v>205.75652316908264</v>
      </c>
      <c r="D168" s="54">
        <f t="shared" si="11"/>
        <v>1024.4360471149744</v>
      </c>
      <c r="E168" s="54">
        <f>('Coûts &amp; variables'!$B$139*(Hypothèses!$B$91/12))/(1-(1+(Hypothèses!$B$91/12))^(-Hypothèses!$B$92*12))</f>
        <v>1230.192570284057</v>
      </c>
      <c r="F168" s="54">
        <f t="shared" si="12"/>
        <v>60702.520903609809</v>
      </c>
      <c r="G168" s="54">
        <v>10</v>
      </c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8"/>
      <c r="S168" s="8"/>
      <c r="T168" s="8"/>
    </row>
    <row r="169" spans="1:20" ht="16" x14ac:dyDescent="0.2">
      <c r="A169" s="54" t="s">
        <v>257</v>
      </c>
      <c r="B169" s="54">
        <f t="shared" si="13"/>
        <v>60702.520903609809</v>
      </c>
      <c r="C169" s="54">
        <f>B169*(Hypothèses!$B$91/12)</f>
        <v>202.34173634536606</v>
      </c>
      <c r="D169" s="54">
        <f t="shared" si="11"/>
        <v>1027.8508339386908</v>
      </c>
      <c r="E169" s="54">
        <f>('Coûts &amp; variables'!$B$139*(Hypothèses!$B$91/12))/(1-(1+(Hypothèses!$B$91/12))^(-Hypothèses!$B$92*12))</f>
        <v>1230.192570284057</v>
      </c>
      <c r="F169" s="54">
        <f t="shared" si="12"/>
        <v>59674.67006967112</v>
      </c>
      <c r="G169" s="54">
        <v>11</v>
      </c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8"/>
      <c r="S169" s="8"/>
      <c r="T169" s="8"/>
    </row>
    <row r="170" spans="1:20" ht="16" x14ac:dyDescent="0.2">
      <c r="A170" s="54" t="s">
        <v>258</v>
      </c>
      <c r="B170" s="54">
        <f t="shared" si="13"/>
        <v>59674.67006967112</v>
      </c>
      <c r="C170" s="54">
        <f>B170*(Hypothèses!$B$91/12)</f>
        <v>198.91556689890373</v>
      </c>
      <c r="D170" s="54">
        <f t="shared" si="11"/>
        <v>1031.2770033851532</v>
      </c>
      <c r="E170" s="54">
        <f>('Coûts &amp; variables'!$B$139*(Hypothèses!$B$91/12))/(1-(1+(Hypothèses!$B$91/12))^(-Hypothèses!$B$92*12))</f>
        <v>1230.192570284057</v>
      </c>
      <c r="F170" s="54">
        <f t="shared" si="12"/>
        <v>58643.393066285964</v>
      </c>
      <c r="G170" s="54">
        <v>11</v>
      </c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8"/>
      <c r="S170" s="8"/>
      <c r="T170" s="8"/>
    </row>
    <row r="171" spans="1:20" ht="16" x14ac:dyDescent="0.2">
      <c r="A171" s="54" t="s">
        <v>259</v>
      </c>
      <c r="B171" s="54">
        <f t="shared" si="13"/>
        <v>58643.393066285964</v>
      </c>
      <c r="C171" s="54">
        <f>B171*(Hypothèses!$B$91/12)</f>
        <v>195.47797688761989</v>
      </c>
      <c r="D171" s="54">
        <f t="shared" si="11"/>
        <v>1034.7145933964371</v>
      </c>
      <c r="E171" s="54">
        <f>('Coûts &amp; variables'!$B$139*(Hypothèses!$B$91/12))/(1-(1+(Hypothèses!$B$91/12))^(-Hypothèses!$B$92*12))</f>
        <v>1230.192570284057</v>
      </c>
      <c r="F171" s="54">
        <f t="shared" si="12"/>
        <v>57608.678472889529</v>
      </c>
      <c r="G171" s="54">
        <v>11</v>
      </c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8"/>
      <c r="S171" s="8"/>
      <c r="T171" s="8"/>
    </row>
    <row r="172" spans="1:20" ht="16" x14ac:dyDescent="0.2">
      <c r="A172" s="54" t="s">
        <v>260</v>
      </c>
      <c r="B172" s="54">
        <f t="shared" si="13"/>
        <v>57608.678472889529</v>
      </c>
      <c r="C172" s="54">
        <f>B172*(Hypothèses!$B$91/12)</f>
        <v>192.02892824296512</v>
      </c>
      <c r="D172" s="54">
        <f t="shared" si="11"/>
        <v>1038.1636420410919</v>
      </c>
      <c r="E172" s="54">
        <f>('Coûts &amp; variables'!$B$139*(Hypothèses!$B$91/12))/(1-(1+(Hypothèses!$B$91/12))^(-Hypothèses!$B$92*12))</f>
        <v>1230.192570284057</v>
      </c>
      <c r="F172" s="54">
        <f t="shared" si="12"/>
        <v>56570.514830848435</v>
      </c>
      <c r="G172" s="54">
        <v>12</v>
      </c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8"/>
      <c r="S172" s="8"/>
      <c r="T172" s="8"/>
    </row>
    <row r="173" spans="1:20" ht="16" x14ac:dyDescent="0.2">
      <c r="A173" s="54" t="s">
        <v>261</v>
      </c>
      <c r="B173" s="54">
        <f t="shared" si="13"/>
        <v>56570.514830848435</v>
      </c>
      <c r="C173" s="54">
        <f>B173*(Hypothèses!$B$91/12)</f>
        <v>188.5683827694948</v>
      </c>
      <c r="D173" s="54">
        <f t="shared" si="11"/>
        <v>1041.6241875145622</v>
      </c>
      <c r="E173" s="54">
        <f>('Coûts &amp; variables'!$B$139*(Hypothèses!$B$91/12))/(1-(1+(Hypothèses!$B$91/12))^(-Hypothèses!$B$92*12))</f>
        <v>1230.192570284057</v>
      </c>
      <c r="F173" s="54">
        <f t="shared" si="12"/>
        <v>55528.890643333871</v>
      </c>
      <c r="G173" s="54">
        <v>12</v>
      </c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8"/>
      <c r="S173" s="8"/>
      <c r="T173" s="8"/>
    </row>
    <row r="174" spans="1:20" ht="16" x14ac:dyDescent="0.2">
      <c r="A174" s="54" t="s">
        <v>227</v>
      </c>
      <c r="B174" s="54">
        <f t="shared" si="13"/>
        <v>55528.890643333871</v>
      </c>
      <c r="C174" s="54">
        <f>B174*(Hypothèses!$B$91/12)</f>
        <v>185.09630214444624</v>
      </c>
      <c r="D174" s="54">
        <f t="shared" si="11"/>
        <v>1045.0962681396106</v>
      </c>
      <c r="E174" s="54">
        <f>('Coûts &amp; variables'!$B$139*(Hypothèses!$B$91/12))/(1-(1+(Hypothèses!$B$91/12))^(-Hypothèses!$B$92*12))</f>
        <v>1230.192570284057</v>
      </c>
      <c r="F174" s="54">
        <f t="shared" si="12"/>
        <v>54483.794375194258</v>
      </c>
      <c r="G174" s="54">
        <v>12</v>
      </c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8"/>
      <c r="S174" s="8"/>
      <c r="T174" s="8"/>
    </row>
    <row r="175" spans="1:20" ht="16" x14ac:dyDescent="0.2">
      <c r="A175" s="54" t="s">
        <v>299</v>
      </c>
      <c r="B175" s="54">
        <f t="shared" si="13"/>
        <v>54483.794375194258</v>
      </c>
      <c r="C175" s="54">
        <f>B175*(Hypothèses!$B$91/12)</f>
        <v>181.61264791731421</v>
      </c>
      <c r="D175" s="54">
        <f t="shared" si="11"/>
        <v>1048.5799223667427</v>
      </c>
      <c r="E175" s="54">
        <f>('Coûts &amp; variables'!$B$139*(Hypothèses!$B$91/12))/(1-(1+(Hypothèses!$B$91/12))^(-Hypothèses!$B$92*12))</f>
        <v>1230.192570284057</v>
      </c>
      <c r="F175" s="54">
        <f t="shared" si="12"/>
        <v>53435.214452827517</v>
      </c>
      <c r="G175" s="54">
        <v>13</v>
      </c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8"/>
      <c r="S175" s="8"/>
      <c r="T175" s="8"/>
    </row>
    <row r="176" spans="1:20" ht="16" x14ac:dyDescent="0.2">
      <c r="A176" s="54" t="s">
        <v>300</v>
      </c>
      <c r="B176" s="54">
        <f t="shared" si="13"/>
        <v>53435.214452827517</v>
      </c>
      <c r="C176" s="54">
        <f>B176*(Hypothèses!$B$91/12)</f>
        <v>178.11738150942506</v>
      </c>
      <c r="D176" s="54">
        <f t="shared" si="11"/>
        <v>1052.0751887746319</v>
      </c>
      <c r="E176" s="54">
        <f>('Coûts &amp; variables'!$B$139*(Hypothèses!$B$91/12))/(1-(1+(Hypothèses!$B$91/12))^(-Hypothèses!$B$92*12))</f>
        <v>1230.192570284057</v>
      </c>
      <c r="F176" s="54">
        <f t="shared" si="12"/>
        <v>52383.139264052887</v>
      </c>
      <c r="G176" s="54">
        <v>13</v>
      </c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8"/>
      <c r="S176" s="8"/>
      <c r="T176" s="8"/>
    </row>
    <row r="177" spans="1:20" ht="16" x14ac:dyDescent="0.2">
      <c r="A177" s="54" t="s">
        <v>301</v>
      </c>
      <c r="B177" s="54">
        <f t="shared" si="13"/>
        <v>52383.139264052887</v>
      </c>
      <c r="C177" s="54">
        <f>B177*(Hypothèses!$B$91/12)</f>
        <v>174.61046421350963</v>
      </c>
      <c r="D177" s="54">
        <f t="shared" si="11"/>
        <v>1055.5821060705473</v>
      </c>
      <c r="E177" s="54">
        <f>('Coûts &amp; variables'!$B$139*(Hypothèses!$B$91/12))/(1-(1+(Hypothèses!$B$91/12))^(-Hypothèses!$B$92*12))</f>
        <v>1230.192570284057</v>
      </c>
      <c r="F177" s="54">
        <f t="shared" si="12"/>
        <v>51327.557157982337</v>
      </c>
      <c r="G177" s="54">
        <v>13</v>
      </c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8"/>
      <c r="S177" s="8"/>
      <c r="T177" s="8"/>
    </row>
    <row r="178" spans="1:20" ht="16" x14ac:dyDescent="0.2">
      <c r="A178" s="54" t="s">
        <v>302</v>
      </c>
      <c r="B178" s="54">
        <f t="shared" si="13"/>
        <v>51327.557157982337</v>
      </c>
      <c r="C178" s="54">
        <f>B178*(Hypothèses!$B$91/12)</f>
        <v>171.09185719327448</v>
      </c>
      <c r="D178" s="54">
        <f t="shared" si="11"/>
        <v>1059.1007130907824</v>
      </c>
      <c r="E178" s="54">
        <f>('Coûts &amp; variables'!$B$139*(Hypothèses!$B$91/12))/(1-(1+(Hypothèses!$B$91/12))^(-Hypothèses!$B$92*12))</f>
        <v>1230.192570284057</v>
      </c>
      <c r="F178" s="54">
        <f t="shared" si="12"/>
        <v>50268.456444891555</v>
      </c>
      <c r="G178" s="54">
        <v>14</v>
      </c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8"/>
      <c r="S178" s="8"/>
      <c r="T178" s="8"/>
    </row>
    <row r="179" spans="1:20" ht="16" x14ac:dyDescent="0.2">
      <c r="A179" s="54" t="s">
        <v>303</v>
      </c>
      <c r="B179" s="54">
        <f t="shared" si="13"/>
        <v>50268.456444891555</v>
      </c>
      <c r="C179" s="54">
        <f>B179*(Hypothèses!$B$91/12)</f>
        <v>167.56152148297187</v>
      </c>
      <c r="D179" s="54">
        <f t="shared" si="11"/>
        <v>1062.6310488010852</v>
      </c>
      <c r="E179" s="54">
        <f>('Coûts &amp; variables'!$B$139*(Hypothèses!$B$91/12))/(1-(1+(Hypothèses!$B$91/12))^(-Hypothèses!$B$92*12))</f>
        <v>1230.192570284057</v>
      </c>
      <c r="F179" s="54">
        <f t="shared" si="12"/>
        <v>49205.825396090469</v>
      </c>
      <c r="G179" s="54">
        <v>14</v>
      </c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8"/>
      <c r="S179" s="8"/>
      <c r="T179" s="8"/>
    </row>
    <row r="180" spans="1:20" ht="16" x14ac:dyDescent="0.2">
      <c r="A180" s="54" t="s">
        <v>304</v>
      </c>
      <c r="B180" s="54">
        <f t="shared" si="13"/>
        <v>49205.825396090469</v>
      </c>
      <c r="C180" s="54">
        <f>B180*(Hypothèses!$B$91/12)</f>
        <v>164.01941798696825</v>
      </c>
      <c r="D180" s="54">
        <f t="shared" si="11"/>
        <v>1066.1731522970888</v>
      </c>
      <c r="E180" s="54">
        <f>('Coûts &amp; variables'!$B$139*(Hypothèses!$B$91/12))/(1-(1+(Hypothèses!$B$91/12))^(-Hypothèses!$B$92*12))</f>
        <v>1230.192570284057</v>
      </c>
      <c r="F180" s="54">
        <f t="shared" si="12"/>
        <v>48139.652243793382</v>
      </c>
      <c r="G180" s="54">
        <v>14</v>
      </c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8"/>
      <c r="S180" s="8"/>
      <c r="T180" s="8"/>
    </row>
    <row r="181" spans="1:20" ht="16" x14ac:dyDescent="0.2">
      <c r="A181" s="54" t="s">
        <v>305</v>
      </c>
      <c r="B181" s="54">
        <f t="shared" si="13"/>
        <v>48139.652243793382</v>
      </c>
      <c r="C181" s="54">
        <f>B181*(Hypothèses!$B$91/12)</f>
        <v>160.46550747931127</v>
      </c>
      <c r="D181" s="54">
        <f t="shared" si="11"/>
        <v>1069.7270628047456</v>
      </c>
      <c r="E181" s="54">
        <f>('Coûts &amp; variables'!$B$139*(Hypothèses!$B$91/12))/(1-(1+(Hypothèses!$B$91/12))^(-Hypothèses!$B$92*12))</f>
        <v>1230.192570284057</v>
      </c>
      <c r="F181" s="54">
        <f t="shared" si="12"/>
        <v>47069.925180988634</v>
      </c>
      <c r="G181" s="54">
        <v>15</v>
      </c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8"/>
      <c r="S181" s="8"/>
      <c r="T181" s="8"/>
    </row>
    <row r="182" spans="1:20" ht="16" x14ac:dyDescent="0.2">
      <c r="A182" s="54" t="s">
        <v>306</v>
      </c>
      <c r="B182" s="54">
        <f t="shared" si="13"/>
        <v>47069.925180988634</v>
      </c>
      <c r="C182" s="54">
        <f>B182*(Hypothèses!$B$91/12)</f>
        <v>156.89975060329544</v>
      </c>
      <c r="D182" s="54">
        <f t="shared" si="11"/>
        <v>1073.2928196807616</v>
      </c>
      <c r="E182" s="54">
        <f>('Coûts &amp; variables'!$B$139*(Hypothèses!$B$91/12))/(1-(1+(Hypothèses!$B$91/12))^(-Hypothèses!$B$92*12))</f>
        <v>1230.192570284057</v>
      </c>
      <c r="F182" s="54">
        <f t="shared" si="12"/>
        <v>45996.632361307871</v>
      </c>
      <c r="G182" s="54">
        <v>15</v>
      </c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8"/>
      <c r="S182" s="8"/>
      <c r="T182" s="8"/>
    </row>
    <row r="183" spans="1:20" ht="16" x14ac:dyDescent="0.2">
      <c r="A183" s="54" t="s">
        <v>307</v>
      </c>
      <c r="B183" s="54">
        <f t="shared" si="13"/>
        <v>45996.632361307871</v>
      </c>
      <c r="C183" s="54">
        <f>B183*(Hypothèses!$B$91/12)</f>
        <v>153.32210787102625</v>
      </c>
      <c r="D183" s="54">
        <f t="shared" si="11"/>
        <v>1076.8704624130307</v>
      </c>
      <c r="E183" s="54">
        <f>('Coûts &amp; variables'!$B$139*(Hypothèses!$B$91/12))/(1-(1+(Hypothèses!$B$91/12))^(-Hypothèses!$B$92*12))</f>
        <v>1230.192570284057</v>
      </c>
      <c r="F183" s="54">
        <f t="shared" si="12"/>
        <v>44919.761898894838</v>
      </c>
      <c r="G183" s="54">
        <v>15</v>
      </c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8"/>
      <c r="S183" s="8"/>
      <c r="T183" s="8"/>
    </row>
    <row r="184" spans="1:20" ht="16" x14ac:dyDescent="0.2">
      <c r="A184" s="54" t="s">
        <v>308</v>
      </c>
      <c r="B184" s="54">
        <f t="shared" si="13"/>
        <v>44919.761898894838</v>
      </c>
      <c r="C184" s="54">
        <f>B184*(Hypothèses!$B$91/12)</f>
        <v>149.73253966298282</v>
      </c>
      <c r="D184" s="54">
        <f t="shared" si="11"/>
        <v>1080.4600306210741</v>
      </c>
      <c r="E184" s="54">
        <f>('Coûts &amp; variables'!$B$139*(Hypothèses!$B$91/12))/(1-(1+(Hypothèses!$B$91/12))^(-Hypothèses!$B$92*12))</f>
        <v>1230.192570284057</v>
      </c>
      <c r="F184" s="54">
        <f t="shared" si="12"/>
        <v>43839.30186827376</v>
      </c>
      <c r="G184" s="54">
        <v>16</v>
      </c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8"/>
      <c r="S184" s="8"/>
      <c r="T184" s="8"/>
    </row>
    <row r="185" spans="1:20" ht="16" x14ac:dyDescent="0.2">
      <c r="A185" s="54" t="s">
        <v>309</v>
      </c>
      <c r="B185" s="54">
        <f t="shared" si="13"/>
        <v>43839.30186827376</v>
      </c>
      <c r="C185" s="54">
        <f>B185*(Hypothèses!$B$91/12)</f>
        <v>146.13100622757921</v>
      </c>
      <c r="D185" s="54">
        <f t="shared" si="11"/>
        <v>1084.0615640564777</v>
      </c>
      <c r="E185" s="54">
        <f>('Coûts &amp; variables'!$B$139*(Hypothèses!$B$91/12))/(1-(1+(Hypothèses!$B$91/12))^(-Hypothèses!$B$92*12))</f>
        <v>1230.192570284057</v>
      </c>
      <c r="F185" s="54">
        <f t="shared" si="12"/>
        <v>42755.240304217281</v>
      </c>
      <c r="G185" s="54">
        <v>16</v>
      </c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8"/>
      <c r="S185" s="8"/>
      <c r="T185" s="8"/>
    </row>
    <row r="186" spans="1:20" ht="16" x14ac:dyDescent="0.2">
      <c r="A186" s="54" t="s">
        <v>310</v>
      </c>
      <c r="B186" s="54">
        <f t="shared" si="13"/>
        <v>42755.240304217281</v>
      </c>
      <c r="C186" s="54">
        <f>B186*(Hypothèses!$B$91/12)</f>
        <v>142.51746768072428</v>
      </c>
      <c r="D186" s="54">
        <f t="shared" si="11"/>
        <v>1087.6751026033326</v>
      </c>
      <c r="E186" s="54">
        <f>('Coûts &amp; variables'!$B$139*(Hypothèses!$B$91/12))/(1-(1+(Hypothèses!$B$91/12))^(-Hypothèses!$B$92*12))</f>
        <v>1230.192570284057</v>
      </c>
      <c r="F186" s="54">
        <f t="shared" si="12"/>
        <v>41667.56520161395</v>
      </c>
      <c r="G186" s="54">
        <v>16</v>
      </c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8"/>
      <c r="S186" s="8"/>
      <c r="T186" s="8"/>
    </row>
    <row r="187" spans="1:20" ht="16" x14ac:dyDescent="0.2">
      <c r="A187" s="54" t="s">
        <v>318</v>
      </c>
      <c r="B187" s="54">
        <f t="shared" si="13"/>
        <v>41667.56520161395</v>
      </c>
      <c r="C187" s="54">
        <f>B187*(Hypothèses!$B$91/12)</f>
        <v>138.89188400537984</v>
      </c>
      <c r="D187" s="54">
        <f t="shared" si="11"/>
        <v>1091.3006862786772</v>
      </c>
      <c r="E187" s="54">
        <f>('Coûts &amp; variables'!$B$139*(Hypothèses!$B$91/12))/(1-(1+(Hypothèses!$B$91/12))^(-Hypothèses!$B$92*12))</f>
        <v>1230.192570284057</v>
      </c>
      <c r="F187" s="54">
        <f t="shared" si="12"/>
        <v>40576.264515335271</v>
      </c>
      <c r="G187" s="54">
        <v>17</v>
      </c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8"/>
      <c r="S187" s="8"/>
      <c r="T187" s="8"/>
    </row>
    <row r="188" spans="1:20" ht="16" x14ac:dyDescent="0.2">
      <c r="A188" s="54" t="s">
        <v>319</v>
      </c>
      <c r="B188" s="54">
        <f t="shared" si="13"/>
        <v>40576.264515335271</v>
      </c>
      <c r="C188" s="54">
        <f>B188*(Hypothèses!$B$91/12)</f>
        <v>135.25421505111757</v>
      </c>
      <c r="D188" s="54">
        <f t="shared" si="11"/>
        <v>1094.9383552329393</v>
      </c>
      <c r="E188" s="54">
        <f>('Coûts &amp; variables'!$B$139*(Hypothèses!$B$91/12))/(1-(1+(Hypothèses!$B$91/12))^(-Hypothèses!$B$92*12))</f>
        <v>1230.192570284057</v>
      </c>
      <c r="F188" s="54">
        <f t="shared" si="12"/>
        <v>39481.326160102333</v>
      </c>
      <c r="G188" s="54">
        <v>17</v>
      </c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8"/>
      <c r="S188" s="8"/>
      <c r="T188" s="8"/>
    </row>
    <row r="189" spans="1:20" ht="16" x14ac:dyDescent="0.2">
      <c r="A189" s="54" t="s">
        <v>320</v>
      </c>
      <c r="B189" s="54">
        <f t="shared" si="13"/>
        <v>39481.326160102333</v>
      </c>
      <c r="C189" s="54">
        <f>B189*(Hypothèses!$B$91/12)</f>
        <v>131.60442053367444</v>
      </c>
      <c r="D189" s="54">
        <f t="shared" si="11"/>
        <v>1098.5881497503824</v>
      </c>
      <c r="E189" s="54">
        <f>('Coûts &amp; variables'!$B$139*(Hypothèses!$B$91/12))/(1-(1+(Hypothèses!$B$91/12))^(-Hypothèses!$B$92*12))</f>
        <v>1230.192570284057</v>
      </c>
      <c r="F189" s="54">
        <f t="shared" si="12"/>
        <v>38382.738010351954</v>
      </c>
      <c r="G189" s="54">
        <v>17</v>
      </c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8"/>
      <c r="S189" s="8"/>
      <c r="T189" s="8"/>
    </row>
    <row r="190" spans="1:20" ht="16" x14ac:dyDescent="0.2">
      <c r="A190" s="54" t="s">
        <v>321</v>
      </c>
      <c r="B190" s="54">
        <f t="shared" si="13"/>
        <v>38382.738010351954</v>
      </c>
      <c r="C190" s="54">
        <f>B190*(Hypothèses!$B$91/12)</f>
        <v>127.94246003450652</v>
      </c>
      <c r="D190" s="54">
        <f t="shared" si="11"/>
        <v>1102.2501102495505</v>
      </c>
      <c r="E190" s="54">
        <f>('Coûts &amp; variables'!$B$139*(Hypothèses!$B$91/12))/(1-(1+(Hypothèses!$B$91/12))^(-Hypothèses!$B$92*12))</f>
        <v>1230.192570284057</v>
      </c>
      <c r="F190" s="54">
        <f t="shared" si="12"/>
        <v>37280.487900102402</v>
      </c>
      <c r="G190" s="54">
        <v>18</v>
      </c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8"/>
      <c r="S190" s="8"/>
      <c r="T190" s="8"/>
    </row>
    <row r="191" spans="1:20" ht="16" x14ac:dyDescent="0.2">
      <c r="A191" s="54" t="s">
        <v>322</v>
      </c>
      <c r="B191" s="54">
        <f t="shared" si="13"/>
        <v>37280.487900102402</v>
      </c>
      <c r="C191" s="54">
        <f>B191*(Hypothèses!$B$91/12)</f>
        <v>124.26829300034134</v>
      </c>
      <c r="D191" s="54">
        <f t="shared" si="11"/>
        <v>1105.9242772837156</v>
      </c>
      <c r="E191" s="54">
        <f>('Coûts &amp; variables'!$B$139*(Hypothèses!$B$91/12))/(1-(1+(Hypothèses!$B$91/12))^(-Hypothèses!$B$92*12))</f>
        <v>1230.192570284057</v>
      </c>
      <c r="F191" s="54">
        <f t="shared" si="12"/>
        <v>36174.563622818685</v>
      </c>
      <c r="G191" s="54">
        <v>18</v>
      </c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8"/>
      <c r="S191" s="8"/>
      <c r="T191" s="8"/>
    </row>
    <row r="192" spans="1:20" ht="16" x14ac:dyDescent="0.2">
      <c r="A192" s="54" t="s">
        <v>323</v>
      </c>
      <c r="B192" s="54">
        <f t="shared" si="13"/>
        <v>36174.563622818685</v>
      </c>
      <c r="C192" s="54">
        <f>B192*(Hypothèses!$B$91/12)</f>
        <v>120.58187874272896</v>
      </c>
      <c r="D192" s="54">
        <f t="shared" si="11"/>
        <v>1109.6106915413279</v>
      </c>
      <c r="E192" s="54">
        <f>('Coûts &amp; variables'!$B$139*(Hypothèses!$B$91/12))/(1-(1+(Hypothèses!$B$91/12))^(-Hypothèses!$B$92*12))</f>
        <v>1230.192570284057</v>
      </c>
      <c r="F192" s="54">
        <f t="shared" si="12"/>
        <v>35064.952931277359</v>
      </c>
      <c r="G192" s="54">
        <v>18</v>
      </c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8"/>
      <c r="S192" s="8"/>
      <c r="T192" s="8"/>
    </row>
    <row r="193" spans="1:20" ht="16" x14ac:dyDescent="0.2">
      <c r="A193" s="54" t="s">
        <v>324</v>
      </c>
      <c r="B193" s="54">
        <f t="shared" si="13"/>
        <v>35064.952931277359</v>
      </c>
      <c r="C193" s="54">
        <f>B193*(Hypothèses!$B$91/12)</f>
        <v>116.8831764375912</v>
      </c>
      <c r="D193" s="54">
        <f t="shared" si="11"/>
        <v>1113.3093938464658</v>
      </c>
      <c r="E193" s="54">
        <f>('Coûts &amp; variables'!$B$139*(Hypothèses!$B$91/12))/(1-(1+(Hypothèses!$B$91/12))^(-Hypothèses!$B$92*12))</f>
        <v>1230.192570284057</v>
      </c>
      <c r="F193" s="54">
        <f t="shared" si="12"/>
        <v>33951.643537430893</v>
      </c>
      <c r="G193" s="54">
        <v>19</v>
      </c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8"/>
      <c r="S193" s="8"/>
      <c r="T193" s="8"/>
    </row>
    <row r="194" spans="1:20" ht="16" x14ac:dyDescent="0.2">
      <c r="A194" s="54" t="s">
        <v>325</v>
      </c>
      <c r="B194" s="54">
        <f t="shared" si="13"/>
        <v>33951.643537430893</v>
      </c>
      <c r="C194" s="54">
        <f>B194*(Hypothèses!$B$91/12)</f>
        <v>113.17214512476966</v>
      </c>
      <c r="D194" s="54">
        <f t="shared" si="11"/>
        <v>1117.0204251592872</v>
      </c>
      <c r="E194" s="54">
        <f>('Coûts &amp; variables'!$B$139*(Hypothèses!$B$91/12))/(1-(1+(Hypothèses!$B$91/12))^(-Hypothèses!$B$92*12))</f>
        <v>1230.192570284057</v>
      </c>
      <c r="F194" s="54">
        <f t="shared" si="12"/>
        <v>32834.623112271605</v>
      </c>
      <c r="G194" s="54">
        <v>19</v>
      </c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8"/>
      <c r="S194" s="8"/>
      <c r="T194" s="8"/>
    </row>
    <row r="195" spans="1:20" ht="16" x14ac:dyDescent="0.2">
      <c r="A195" s="54" t="s">
        <v>326</v>
      </c>
      <c r="B195" s="54">
        <f t="shared" si="13"/>
        <v>32834.623112271605</v>
      </c>
      <c r="C195" s="54">
        <f>B195*(Hypothèses!$B$91/12)</f>
        <v>109.44874370757202</v>
      </c>
      <c r="D195" s="54">
        <f t="shared" si="11"/>
        <v>1120.7438265764849</v>
      </c>
      <c r="E195" s="54">
        <f>('Coûts &amp; variables'!$B$139*(Hypothèses!$B$91/12))/(1-(1+(Hypothèses!$B$91/12))^(-Hypothèses!$B$92*12))</f>
        <v>1230.192570284057</v>
      </c>
      <c r="F195" s="54">
        <f t="shared" si="12"/>
        <v>31713.879285695119</v>
      </c>
      <c r="G195" s="54">
        <v>19</v>
      </c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8"/>
      <c r="S195" s="8"/>
      <c r="T195" s="8"/>
    </row>
    <row r="196" spans="1:20" ht="16" x14ac:dyDescent="0.2">
      <c r="A196" s="54" t="s">
        <v>327</v>
      </c>
      <c r="B196" s="54">
        <f t="shared" si="13"/>
        <v>31713.879285695119</v>
      </c>
      <c r="C196" s="54">
        <f>B196*(Hypothèses!$B$91/12)</f>
        <v>105.71293095231707</v>
      </c>
      <c r="D196" s="54">
        <f t="shared" si="11"/>
        <v>1124.4796393317399</v>
      </c>
      <c r="E196" s="54">
        <f>('Coûts &amp; variables'!$B$139*(Hypothèses!$B$91/12))/(1-(1+(Hypothèses!$B$91/12))^(-Hypothèses!$B$92*12))</f>
        <v>1230.192570284057</v>
      </c>
      <c r="F196" s="54">
        <f t="shared" si="12"/>
        <v>30589.399646363378</v>
      </c>
      <c r="G196" s="54">
        <v>20</v>
      </c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8"/>
      <c r="S196" s="8"/>
      <c r="T196" s="8"/>
    </row>
    <row r="197" spans="1:20" ht="16" x14ac:dyDescent="0.2">
      <c r="A197" s="54" t="s">
        <v>328</v>
      </c>
      <c r="B197" s="54">
        <f t="shared" si="13"/>
        <v>30589.399646363378</v>
      </c>
      <c r="C197" s="54">
        <f>B197*(Hypothèses!$B$91/12)</f>
        <v>101.96466548787794</v>
      </c>
      <c r="D197" s="54">
        <f t="shared" si="11"/>
        <v>1128.227904796179</v>
      </c>
      <c r="E197" s="54">
        <f>('Coûts &amp; variables'!$B$139*(Hypothèses!$B$91/12))/(1-(1+(Hypothèses!$B$91/12))^(-Hypothèses!$B$92*12))</f>
        <v>1230.192570284057</v>
      </c>
      <c r="F197" s="54">
        <f t="shared" si="12"/>
        <v>29461.171741567199</v>
      </c>
      <c r="G197" s="54">
        <v>20</v>
      </c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8"/>
      <c r="S197" s="8"/>
      <c r="T197" s="8"/>
    </row>
    <row r="198" spans="1:20" ht="16" x14ac:dyDescent="0.2">
      <c r="A198" s="54" t="s">
        <v>329</v>
      </c>
      <c r="B198" s="54">
        <f t="shared" si="13"/>
        <v>29461.171741567199</v>
      </c>
      <c r="C198" s="54">
        <f>B198*(Hypothèses!$B$91/12)</f>
        <v>98.203905805223997</v>
      </c>
      <c r="D198" s="54">
        <f t="shared" si="11"/>
        <v>1131.988664478833</v>
      </c>
      <c r="E198" s="54">
        <f>('Coûts &amp; variables'!$B$139*(Hypothèses!$B$91/12))/(1-(1+(Hypothèses!$B$91/12))^(-Hypothèses!$B$92*12))</f>
        <v>1230.192570284057</v>
      </c>
      <c r="F198" s="54">
        <f t="shared" si="12"/>
        <v>28329.183077088368</v>
      </c>
      <c r="G198" s="54">
        <v>20</v>
      </c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8"/>
      <c r="S198" s="8"/>
      <c r="T198" s="8"/>
    </row>
    <row r="199" spans="1:20" ht="16" x14ac:dyDescent="0.2">
      <c r="A199" s="54" t="s">
        <v>334</v>
      </c>
      <c r="B199" s="54">
        <f t="shared" si="13"/>
        <v>28329.183077088368</v>
      </c>
      <c r="C199" s="54">
        <f>B199*(Hypothèses!$B$91/12)</f>
        <v>94.430610256961231</v>
      </c>
      <c r="D199" s="54">
        <f t="shared" si="11"/>
        <v>1135.7619600270957</v>
      </c>
      <c r="E199" s="54">
        <f>('Coûts &amp; variables'!$B$139*(Hypothèses!$B$91/12))/(1-(1+(Hypothèses!$B$91/12))^(-Hypothèses!$B$92*12))</f>
        <v>1230.192570284057</v>
      </c>
      <c r="F199" s="54">
        <f t="shared" si="12"/>
        <v>27193.421117061273</v>
      </c>
      <c r="G199" s="54">
        <v>21</v>
      </c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8"/>
      <c r="S199" s="8"/>
      <c r="T199" s="8"/>
    </row>
    <row r="200" spans="1:20" ht="16" x14ac:dyDescent="0.2">
      <c r="A200" s="54" t="s">
        <v>335</v>
      </c>
      <c r="B200" s="54">
        <f t="shared" si="13"/>
        <v>27193.421117061273</v>
      </c>
      <c r="C200" s="54">
        <f>B200*(Hypothèses!$B$91/12)</f>
        <v>90.644737056870909</v>
      </c>
      <c r="D200" s="54">
        <f t="shared" si="11"/>
        <v>1139.5478332271859</v>
      </c>
      <c r="E200" s="54">
        <f>('Coûts &amp; variables'!$B$139*(Hypothèses!$B$91/12))/(1-(1+(Hypothèses!$B$91/12))^(-Hypothèses!$B$92*12))</f>
        <v>1230.192570284057</v>
      </c>
      <c r="F200" s="54">
        <f t="shared" si="12"/>
        <v>26053.873283834087</v>
      </c>
      <c r="G200" s="54">
        <v>21</v>
      </c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8"/>
      <c r="S200" s="8"/>
      <c r="T200" s="8"/>
    </row>
    <row r="201" spans="1:20" ht="16" x14ac:dyDescent="0.2">
      <c r="A201" s="54" t="s">
        <v>336</v>
      </c>
      <c r="B201" s="54">
        <f t="shared" si="13"/>
        <v>26053.873283834087</v>
      </c>
      <c r="C201" s="54">
        <f>B201*(Hypothèses!$B$91/12)</f>
        <v>86.846244279446964</v>
      </c>
      <c r="D201" s="54">
        <f t="shared" si="11"/>
        <v>1143.3463260046101</v>
      </c>
      <c r="E201" s="54">
        <f>('Coûts &amp; variables'!$B$139*(Hypothèses!$B$91/12))/(1-(1+(Hypothèses!$B$91/12))^(-Hypothèses!$B$92*12))</f>
        <v>1230.192570284057</v>
      </c>
      <c r="F201" s="54">
        <f t="shared" si="12"/>
        <v>24910.526957829476</v>
      </c>
      <c r="G201" s="54">
        <v>21</v>
      </c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8"/>
      <c r="S201" s="8"/>
      <c r="T201" s="8"/>
    </row>
    <row r="202" spans="1:20" ht="16" x14ac:dyDescent="0.2">
      <c r="A202" s="54" t="s">
        <v>337</v>
      </c>
      <c r="B202" s="54">
        <f t="shared" si="13"/>
        <v>24910.526957829476</v>
      </c>
      <c r="C202" s="54">
        <f>B202*(Hypothèses!$B$91/12)</f>
        <v>83.035089859431594</v>
      </c>
      <c r="D202" s="54">
        <f t="shared" si="11"/>
        <v>1147.1574804246254</v>
      </c>
      <c r="E202" s="54">
        <f>('Coûts &amp; variables'!$B$139*(Hypothèses!$B$91/12))/(1-(1+(Hypothèses!$B$91/12))^(-Hypothèses!$B$92*12))</f>
        <v>1230.192570284057</v>
      </c>
      <c r="F202" s="54">
        <f t="shared" si="12"/>
        <v>23763.369477404849</v>
      </c>
      <c r="G202" s="54">
        <v>22</v>
      </c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8"/>
      <c r="S202" s="8"/>
      <c r="T202" s="8"/>
    </row>
    <row r="203" spans="1:20" ht="16" x14ac:dyDescent="0.2">
      <c r="A203" s="54" t="s">
        <v>338</v>
      </c>
      <c r="B203" s="54">
        <f t="shared" si="13"/>
        <v>23763.369477404849</v>
      </c>
      <c r="C203" s="54">
        <f>B203*(Hypothèses!$B$91/12)</f>
        <v>79.211231591349502</v>
      </c>
      <c r="D203" s="54">
        <f t="shared" si="11"/>
        <v>1150.9813386927074</v>
      </c>
      <c r="E203" s="54">
        <f>('Coûts &amp; variables'!$B$139*(Hypothèses!$B$91/12))/(1-(1+(Hypothèses!$B$91/12))^(-Hypothèses!$B$92*12))</f>
        <v>1230.192570284057</v>
      </c>
      <c r="F203" s="54">
        <f t="shared" si="12"/>
        <v>22612.38813871214</v>
      </c>
      <c r="G203" s="54">
        <v>22</v>
      </c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8"/>
      <c r="S203" s="8"/>
      <c r="T203" s="8"/>
    </row>
    <row r="204" spans="1:20" ht="16" x14ac:dyDescent="0.2">
      <c r="A204" s="54" t="s">
        <v>339</v>
      </c>
      <c r="B204" s="54">
        <f t="shared" si="13"/>
        <v>22612.38813871214</v>
      </c>
      <c r="C204" s="54">
        <f>B204*(Hypothèses!$B$91/12)</f>
        <v>75.374627129040476</v>
      </c>
      <c r="D204" s="54">
        <f t="shared" ref="D204:D222" si="14">E204-C204</f>
        <v>1154.8179431550166</v>
      </c>
      <c r="E204" s="54">
        <f>('Coûts &amp; variables'!$B$139*(Hypothèses!$B$91/12))/(1-(1+(Hypothèses!$B$91/12))^(-Hypothèses!$B$92*12))</f>
        <v>1230.192570284057</v>
      </c>
      <c r="F204" s="54">
        <f t="shared" ref="F204:F222" si="15">B204-D204</f>
        <v>21457.570195557124</v>
      </c>
      <c r="G204" s="54">
        <v>22</v>
      </c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8"/>
      <c r="S204" s="8"/>
      <c r="T204" s="8"/>
    </row>
    <row r="205" spans="1:20" ht="16" x14ac:dyDescent="0.2">
      <c r="A205" s="54" t="s">
        <v>340</v>
      </c>
      <c r="B205" s="54">
        <f t="shared" ref="B205:B222" si="16">F204</f>
        <v>21457.570195557124</v>
      </c>
      <c r="C205" s="54">
        <f>B205*(Hypothèses!$B$91/12)</f>
        <v>71.525233985190411</v>
      </c>
      <c r="D205" s="54">
        <f t="shared" si="14"/>
        <v>1158.6673362988665</v>
      </c>
      <c r="E205" s="54">
        <f>('Coûts &amp; variables'!$B$139*(Hypothèses!$B$91/12))/(1-(1+(Hypothèses!$B$91/12))^(-Hypothèses!$B$92*12))</f>
        <v>1230.192570284057</v>
      </c>
      <c r="F205" s="54">
        <f t="shared" si="15"/>
        <v>20298.902859258258</v>
      </c>
      <c r="G205" s="54">
        <v>23</v>
      </c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8"/>
      <c r="S205" s="8"/>
      <c r="T205" s="8"/>
    </row>
    <row r="206" spans="1:20" ht="16" x14ac:dyDescent="0.2">
      <c r="A206" s="54" t="s">
        <v>341</v>
      </c>
      <c r="B206" s="54">
        <f t="shared" si="16"/>
        <v>20298.902859258258</v>
      </c>
      <c r="C206" s="54">
        <f>B206*(Hypothèses!$B$91/12)</f>
        <v>67.663009530860862</v>
      </c>
      <c r="D206" s="54">
        <f t="shared" si="14"/>
        <v>1162.5295607531962</v>
      </c>
      <c r="E206" s="54">
        <f>('Coûts &amp; variables'!$B$139*(Hypothèses!$B$91/12))/(1-(1+(Hypothèses!$B$91/12))^(-Hypothèses!$B$92*12))</f>
        <v>1230.192570284057</v>
      </c>
      <c r="F206" s="54">
        <f t="shared" si="15"/>
        <v>19136.373298505063</v>
      </c>
      <c r="G206" s="54">
        <v>23</v>
      </c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8"/>
      <c r="S206" s="8"/>
      <c r="T206" s="8"/>
    </row>
    <row r="207" spans="1:20" ht="16" x14ac:dyDescent="0.2">
      <c r="A207" s="54" t="s">
        <v>342</v>
      </c>
      <c r="B207" s="54">
        <f t="shared" si="16"/>
        <v>19136.373298505063</v>
      </c>
      <c r="C207" s="54">
        <f>B207*(Hypothèses!$B$91/12)</f>
        <v>63.78791099501688</v>
      </c>
      <c r="D207" s="54">
        <f t="shared" si="14"/>
        <v>1166.4046592890402</v>
      </c>
      <c r="E207" s="54">
        <f>('Coûts &amp; variables'!$B$139*(Hypothèses!$B$91/12))/(1-(1+(Hypothèses!$B$91/12))^(-Hypothèses!$B$92*12))</f>
        <v>1230.192570284057</v>
      </c>
      <c r="F207" s="54">
        <f t="shared" si="15"/>
        <v>17969.968639216022</v>
      </c>
      <c r="G207" s="54">
        <v>23</v>
      </c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8"/>
      <c r="S207" s="8"/>
      <c r="T207" s="8"/>
    </row>
    <row r="208" spans="1:20" ht="16" x14ac:dyDescent="0.2">
      <c r="A208" s="54" t="s">
        <v>343</v>
      </c>
      <c r="B208" s="54">
        <f t="shared" si="16"/>
        <v>17969.968639216022</v>
      </c>
      <c r="C208" s="54">
        <f>B208*(Hypothèses!$B$91/12)</f>
        <v>59.899895464053408</v>
      </c>
      <c r="D208" s="54">
        <f t="shared" si="14"/>
        <v>1170.2926748200036</v>
      </c>
      <c r="E208" s="54">
        <f>('Coûts &amp; variables'!$B$139*(Hypothèses!$B$91/12))/(1-(1+(Hypothèses!$B$91/12))^(-Hypothèses!$B$92*12))</f>
        <v>1230.192570284057</v>
      </c>
      <c r="F208" s="54">
        <f t="shared" si="15"/>
        <v>16799.675964396018</v>
      </c>
      <c r="G208" s="54">
        <v>24</v>
      </c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8"/>
      <c r="S208" s="8"/>
      <c r="T208" s="8"/>
    </row>
    <row r="209" spans="1:20" ht="16" x14ac:dyDescent="0.2">
      <c r="A209" s="54" t="s">
        <v>344</v>
      </c>
      <c r="B209" s="54">
        <f t="shared" si="16"/>
        <v>16799.675964396018</v>
      </c>
      <c r="C209" s="54">
        <f>B209*(Hypothèses!$B$91/12)</f>
        <v>55.998919881320063</v>
      </c>
      <c r="D209" s="54">
        <f t="shared" si="14"/>
        <v>1174.1936504027369</v>
      </c>
      <c r="E209" s="54">
        <f>('Coûts &amp; variables'!$B$139*(Hypothèses!$B$91/12))/(1-(1+(Hypothèses!$B$91/12))^(-Hypothèses!$B$92*12))</f>
        <v>1230.192570284057</v>
      </c>
      <c r="F209" s="54">
        <f t="shared" si="15"/>
        <v>15625.482313993281</v>
      </c>
      <c r="G209" s="54">
        <v>24</v>
      </c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8"/>
      <c r="S209" s="8"/>
      <c r="T209" s="8"/>
    </row>
    <row r="210" spans="1:20" ht="16" x14ac:dyDescent="0.2">
      <c r="A210" s="54" t="s">
        <v>345</v>
      </c>
      <c r="B210" s="54">
        <f t="shared" si="16"/>
        <v>15625.482313993281</v>
      </c>
      <c r="C210" s="54">
        <f>B210*(Hypothèses!$B$91/12)</f>
        <v>52.084941046644275</v>
      </c>
      <c r="D210" s="54">
        <f t="shared" si="14"/>
        <v>1178.1076292374128</v>
      </c>
      <c r="E210" s="54">
        <f>('Coûts &amp; variables'!$B$139*(Hypothèses!$B$91/12))/(1-(1+(Hypothèses!$B$91/12))^(-Hypothèses!$B$92*12))</f>
        <v>1230.192570284057</v>
      </c>
      <c r="F210" s="54">
        <f t="shared" si="15"/>
        <v>14447.374684755869</v>
      </c>
      <c r="G210" s="54">
        <v>24</v>
      </c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8"/>
      <c r="S210" s="8"/>
      <c r="T210" s="8"/>
    </row>
    <row r="211" spans="1:20" ht="16" x14ac:dyDescent="0.2">
      <c r="A211" s="54" t="s">
        <v>346</v>
      </c>
      <c r="B211" s="54">
        <f t="shared" si="16"/>
        <v>14447.374684755869</v>
      </c>
      <c r="C211" s="54">
        <f>B211*(Hypothèses!$B$91/12)</f>
        <v>48.1579156158529</v>
      </c>
      <c r="D211" s="54">
        <f t="shared" si="14"/>
        <v>1182.034654668204</v>
      </c>
      <c r="E211" s="54">
        <f>('Coûts &amp; variables'!$B$139*(Hypothèses!$B$91/12))/(1-(1+(Hypothèses!$B$91/12))^(-Hypothèses!$B$92*12))</f>
        <v>1230.192570284057</v>
      </c>
      <c r="F211" s="54">
        <f t="shared" si="15"/>
        <v>13265.340030087664</v>
      </c>
      <c r="G211" s="54">
        <v>25</v>
      </c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8"/>
      <c r="S211" s="8"/>
      <c r="T211" s="8"/>
    </row>
    <row r="212" spans="1:20" ht="16" x14ac:dyDescent="0.2">
      <c r="A212" s="54" t="s">
        <v>347</v>
      </c>
      <c r="B212" s="54">
        <f t="shared" si="16"/>
        <v>13265.340030087664</v>
      </c>
      <c r="C212" s="54">
        <f>B212*(Hypothèses!$B$91/12)</f>
        <v>44.217800100292216</v>
      </c>
      <c r="D212" s="54">
        <f t="shared" si="14"/>
        <v>1185.9747701837648</v>
      </c>
      <c r="E212" s="54">
        <f>('Coûts &amp; variables'!$B$139*(Hypothèses!$B$91/12))/(1-(1+(Hypothèses!$B$91/12))^(-Hypothèses!$B$92*12))</f>
        <v>1230.192570284057</v>
      </c>
      <c r="F212" s="54">
        <f t="shared" si="15"/>
        <v>12079.3652599039</v>
      </c>
      <c r="G212" s="54">
        <v>25</v>
      </c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8"/>
      <c r="S212" s="8"/>
      <c r="T212" s="8"/>
    </row>
    <row r="213" spans="1:20" ht="16" x14ac:dyDescent="0.2">
      <c r="A213" s="54" t="s">
        <v>348</v>
      </c>
      <c r="B213" s="54">
        <f t="shared" si="16"/>
        <v>12079.3652599039</v>
      </c>
      <c r="C213" s="54">
        <f>B213*(Hypothèses!$B$91/12)</f>
        <v>40.264550866346333</v>
      </c>
      <c r="D213" s="54">
        <f t="shared" si="14"/>
        <v>1189.9280194177106</v>
      </c>
      <c r="E213" s="54">
        <f>('Coûts &amp; variables'!$B$139*(Hypothèses!$B$91/12))/(1-(1+(Hypothèses!$B$91/12))^(-Hypothèses!$B$92*12))</f>
        <v>1230.192570284057</v>
      </c>
      <c r="F213" s="54">
        <f t="shared" si="15"/>
        <v>10889.43724048619</v>
      </c>
      <c r="G213" s="54">
        <v>25</v>
      </c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8"/>
      <c r="S213" s="8"/>
      <c r="T213" s="8"/>
    </row>
    <row r="214" spans="1:20" ht="16" x14ac:dyDescent="0.2">
      <c r="A214" s="54" t="s">
        <v>349</v>
      </c>
      <c r="B214" s="54">
        <f t="shared" si="16"/>
        <v>10889.43724048619</v>
      </c>
      <c r="C214" s="54">
        <f>B214*(Hypothèses!$B$91/12)</f>
        <v>36.298124134953966</v>
      </c>
      <c r="D214" s="54">
        <f t="shared" si="14"/>
        <v>1193.894446149103</v>
      </c>
      <c r="E214" s="54">
        <f>('Coûts &amp; variables'!$B$139*(Hypothèses!$B$91/12))/(1-(1+(Hypothèses!$B$91/12))^(-Hypothèses!$B$92*12))</f>
        <v>1230.192570284057</v>
      </c>
      <c r="F214" s="54">
        <f t="shared" si="15"/>
        <v>9695.5427943370869</v>
      </c>
      <c r="G214" s="54">
        <v>26</v>
      </c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8"/>
      <c r="S214" s="8"/>
      <c r="T214" s="8"/>
    </row>
    <row r="215" spans="1:20" ht="16" x14ac:dyDescent="0.2">
      <c r="A215" s="54" t="s">
        <v>350</v>
      </c>
      <c r="B215" s="54">
        <f t="shared" si="16"/>
        <v>9695.5427943370869</v>
      </c>
      <c r="C215" s="54">
        <f>B215*(Hypothèses!$B$91/12)</f>
        <v>32.318475981123626</v>
      </c>
      <c r="D215" s="54">
        <f t="shared" si="14"/>
        <v>1197.8740943029334</v>
      </c>
      <c r="E215" s="54">
        <f>('Coûts &amp; variables'!$B$139*(Hypothèses!$B$91/12))/(1-(1+(Hypothèses!$B$91/12))^(-Hypothèses!$B$92*12))</f>
        <v>1230.192570284057</v>
      </c>
      <c r="F215" s="54">
        <f t="shared" si="15"/>
        <v>8497.6687000341535</v>
      </c>
      <c r="G215" s="54">
        <v>26</v>
      </c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8"/>
      <c r="S215" s="8"/>
      <c r="T215" s="8"/>
    </row>
    <row r="216" spans="1:20" ht="16" x14ac:dyDescent="0.2">
      <c r="A216" s="54" t="s">
        <v>351</v>
      </c>
      <c r="B216" s="54">
        <f t="shared" si="16"/>
        <v>8497.6687000341535</v>
      </c>
      <c r="C216" s="54">
        <f>B216*(Hypothèses!$B$91/12)</f>
        <v>28.325562333447181</v>
      </c>
      <c r="D216" s="54">
        <f t="shared" si="14"/>
        <v>1201.8670079506098</v>
      </c>
      <c r="E216" s="54">
        <f>('Coûts &amp; variables'!$B$139*(Hypothèses!$B$91/12))/(1-(1+(Hypothèses!$B$91/12))^(-Hypothèses!$B$92*12))</f>
        <v>1230.192570284057</v>
      </c>
      <c r="F216" s="54">
        <f t="shared" si="15"/>
        <v>7295.8016920835435</v>
      </c>
      <c r="G216" s="54">
        <v>26</v>
      </c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8"/>
      <c r="S216" s="8"/>
      <c r="T216" s="8"/>
    </row>
    <row r="217" spans="1:20" ht="16" x14ac:dyDescent="0.2">
      <c r="A217" s="54" t="s">
        <v>352</v>
      </c>
      <c r="B217" s="54">
        <f t="shared" si="16"/>
        <v>7295.8016920835435</v>
      </c>
      <c r="C217" s="54">
        <f>B217*(Hypothèses!$B$91/12)</f>
        <v>24.319338973611814</v>
      </c>
      <c r="D217" s="54">
        <f t="shared" si="14"/>
        <v>1205.8732313104451</v>
      </c>
      <c r="E217" s="54">
        <f>('Coûts &amp; variables'!$B$139*(Hypothèses!$B$91/12))/(1-(1+(Hypothèses!$B$91/12))^(-Hypothèses!$B$92*12))</f>
        <v>1230.192570284057</v>
      </c>
      <c r="F217" s="54">
        <f t="shared" si="15"/>
        <v>6089.9284607730988</v>
      </c>
      <c r="G217" s="54">
        <v>27</v>
      </c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8"/>
      <c r="S217" s="8"/>
      <c r="T217" s="8"/>
    </row>
    <row r="218" spans="1:20" ht="16" x14ac:dyDescent="0.2">
      <c r="A218" s="54" t="s">
        <v>353</v>
      </c>
      <c r="B218" s="54">
        <f t="shared" si="16"/>
        <v>6089.9284607730988</v>
      </c>
      <c r="C218" s="54">
        <f>B218*(Hypothèses!$B$91/12)</f>
        <v>20.299761535910331</v>
      </c>
      <c r="D218" s="54">
        <f t="shared" si="14"/>
        <v>1209.8928087481465</v>
      </c>
      <c r="E218" s="54">
        <f>('Coûts &amp; variables'!$B$139*(Hypothèses!$B$91/12))/(1-(1+(Hypothèses!$B$91/12))^(-Hypothèses!$B$92*12))</f>
        <v>1230.192570284057</v>
      </c>
      <c r="F218" s="54">
        <f t="shared" si="15"/>
        <v>4880.0356520249525</v>
      </c>
      <c r="G218" s="54">
        <v>27</v>
      </c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8"/>
      <c r="S218" s="8"/>
      <c r="T218" s="8"/>
    </row>
    <row r="219" spans="1:20" ht="16" x14ac:dyDescent="0.2">
      <c r="A219" s="54" t="s">
        <v>354</v>
      </c>
      <c r="B219" s="54">
        <f t="shared" si="16"/>
        <v>4880.0356520249525</v>
      </c>
      <c r="C219" s="54">
        <f>B219*(Hypothèses!$B$91/12)</f>
        <v>16.266785506749844</v>
      </c>
      <c r="D219" s="54">
        <f t="shared" si="14"/>
        <v>1213.9257847773072</v>
      </c>
      <c r="E219" s="54">
        <f>('Coûts &amp; variables'!$B$139*(Hypothèses!$B$91/12))/(1-(1+(Hypothèses!$B$91/12))^(-Hypothèses!$B$92*12))</f>
        <v>1230.192570284057</v>
      </c>
      <c r="F219" s="54">
        <f t="shared" si="15"/>
        <v>3666.1098672476455</v>
      </c>
      <c r="G219" s="54">
        <v>27</v>
      </c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8"/>
      <c r="S219" s="8"/>
      <c r="T219" s="8"/>
    </row>
    <row r="220" spans="1:20" ht="16" x14ac:dyDescent="0.2">
      <c r="A220" s="54" t="s">
        <v>355</v>
      </c>
      <c r="B220" s="54">
        <f t="shared" si="16"/>
        <v>3666.1098672476455</v>
      </c>
      <c r="C220" s="54">
        <f>B220*(Hypothèses!$B$91/12)</f>
        <v>12.22036622415882</v>
      </c>
      <c r="D220" s="54">
        <f t="shared" si="14"/>
        <v>1217.9722040598981</v>
      </c>
      <c r="E220" s="54">
        <f>('Coûts &amp; variables'!$B$139*(Hypothèses!$B$91/12))/(1-(1+(Hypothèses!$B$91/12))^(-Hypothèses!$B$92*12))</f>
        <v>1230.192570284057</v>
      </c>
      <c r="F220" s="54">
        <f t="shared" si="15"/>
        <v>2448.1376631877474</v>
      </c>
      <c r="G220" s="54">
        <v>28</v>
      </c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8"/>
      <c r="S220" s="8"/>
      <c r="T220" s="8"/>
    </row>
    <row r="221" spans="1:20" ht="16" x14ac:dyDescent="0.2">
      <c r="A221" s="54" t="s">
        <v>356</v>
      </c>
      <c r="B221" s="54">
        <f t="shared" si="16"/>
        <v>2448.1376631877474</v>
      </c>
      <c r="C221" s="54">
        <f>B221*(Hypothèses!$B$91/12)</f>
        <v>8.1604588772924913</v>
      </c>
      <c r="D221" s="54">
        <f t="shared" si="14"/>
        <v>1222.0321114067644</v>
      </c>
      <c r="E221" s="54">
        <f>('Coûts &amp; variables'!$B$139*(Hypothèses!$B$91/12))/(1-(1+(Hypothèses!$B$91/12))^(-Hypothèses!$B$92*12))</f>
        <v>1230.192570284057</v>
      </c>
      <c r="F221" s="54">
        <f t="shared" si="15"/>
        <v>1226.105551780983</v>
      </c>
      <c r="G221" s="54">
        <v>28</v>
      </c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8"/>
      <c r="S221" s="8"/>
      <c r="T221" s="8"/>
    </row>
    <row r="222" spans="1:20" ht="16" x14ac:dyDescent="0.2">
      <c r="A222" s="54" t="s">
        <v>357</v>
      </c>
      <c r="B222" s="54">
        <f t="shared" si="16"/>
        <v>1226.105551780983</v>
      </c>
      <c r="C222" s="54">
        <f>B222*(Hypothèses!$B$91/12)</f>
        <v>4.0870185059366104</v>
      </c>
      <c r="D222" s="54">
        <f t="shared" si="14"/>
        <v>1226.1055517781203</v>
      </c>
      <c r="E222" s="54">
        <f>('Coûts &amp; variables'!$B$139*(Hypothèses!$B$91/12))/(1-(1+(Hypothèses!$B$91/12))^(-Hypothèses!$B$92*12))</f>
        <v>1230.192570284057</v>
      </c>
      <c r="F222" s="54">
        <f t="shared" si="15"/>
        <v>2.8626345738302916E-9</v>
      </c>
      <c r="G222" s="54">
        <v>28</v>
      </c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8"/>
      <c r="S222" s="8"/>
      <c r="T222" s="8"/>
    </row>
    <row r="223" spans="1:20" ht="16" x14ac:dyDescent="0.2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8"/>
      <c r="S223" s="8"/>
      <c r="T223" s="8"/>
    </row>
    <row r="224" spans="1:20" ht="16" x14ac:dyDescent="0.2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8"/>
      <c r="S224" s="8"/>
      <c r="T224" s="8"/>
    </row>
    <row r="225" spans="1:20" ht="16" x14ac:dyDescent="0.2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8"/>
      <c r="S225" s="8"/>
      <c r="T225" s="8"/>
    </row>
    <row r="226" spans="1:20" ht="16" x14ac:dyDescent="0.2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8"/>
      <c r="S226" s="8"/>
      <c r="T226" s="8"/>
    </row>
    <row r="227" spans="1:20" ht="16" x14ac:dyDescent="0.2">
      <c r="A227" s="61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</row>
    <row r="228" spans="1:20" ht="16" x14ac:dyDescent="0.2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</row>
  </sheetData>
  <mergeCells count="16">
    <mergeCell ref="A108:D108"/>
    <mergeCell ref="A124:I124"/>
    <mergeCell ref="A137:G137"/>
    <mergeCell ref="A60:B60"/>
    <mergeCell ref="D60:E60"/>
    <mergeCell ref="H43:K43"/>
    <mergeCell ref="M43:N43"/>
    <mergeCell ref="P43:Q43"/>
    <mergeCell ref="A79:D79"/>
    <mergeCell ref="A8:L8"/>
    <mergeCell ref="A13:D13"/>
    <mergeCell ref="A20:D20"/>
    <mergeCell ref="A25:C25"/>
    <mergeCell ref="A32:B32"/>
    <mergeCell ref="A43:D43"/>
    <mergeCell ref="F16:M16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24FD4-31B9-F844-82E0-C6FB04338879}">
  <dimension ref="A1:U110"/>
  <sheetViews>
    <sheetView zoomScale="61" workbookViewId="0">
      <selection activeCell="L8" sqref="L8"/>
    </sheetView>
  </sheetViews>
  <sheetFormatPr baseColWidth="10" defaultRowHeight="15" x14ac:dyDescent="0.2"/>
  <cols>
    <col min="1" max="1" width="27.1640625" customWidth="1"/>
    <col min="2" max="9" width="19.83203125" customWidth="1"/>
    <col min="11" max="11" width="14.6640625" customWidth="1"/>
    <col min="13" max="13" width="12.6640625" customWidth="1"/>
    <col min="21" max="21" width="13" customWidth="1"/>
  </cols>
  <sheetData>
    <row r="1" spans="1:16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x14ac:dyDescent="0.2">
      <c r="A5" s="34"/>
      <c r="B5" s="34"/>
      <c r="C5" s="34"/>
      <c r="D5" s="34"/>
      <c r="E5" s="34"/>
      <c r="F5" s="34"/>
      <c r="G5" s="34"/>
      <c r="H5" s="34"/>
      <c r="I5" s="34"/>
      <c r="J5" s="8"/>
      <c r="K5" s="8"/>
      <c r="L5" s="8"/>
      <c r="M5" s="8"/>
      <c r="N5" s="8"/>
      <c r="O5" s="8"/>
      <c r="P5" s="8"/>
    </row>
    <row r="6" spans="1:16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 ht="19" x14ac:dyDescent="0.25">
      <c r="A13" s="138" t="s">
        <v>408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8"/>
      <c r="P13" s="8"/>
    </row>
    <row r="14" spans="1:16" ht="16" x14ac:dyDescent="0.2">
      <c r="A14" s="63" t="s">
        <v>0</v>
      </c>
      <c r="B14" s="63" t="s">
        <v>140</v>
      </c>
      <c r="C14" s="63" t="s">
        <v>195</v>
      </c>
      <c r="D14" s="63" t="s">
        <v>130</v>
      </c>
      <c r="E14" s="63" t="s">
        <v>196</v>
      </c>
      <c r="F14" s="63" t="s">
        <v>131</v>
      </c>
      <c r="G14" s="63" t="s">
        <v>132</v>
      </c>
      <c r="H14" s="63" t="s">
        <v>197</v>
      </c>
      <c r="I14" s="63" t="s">
        <v>201</v>
      </c>
      <c r="J14" s="63" t="s">
        <v>198</v>
      </c>
      <c r="K14" s="63" t="s">
        <v>202</v>
      </c>
      <c r="L14" s="63" t="s">
        <v>199</v>
      </c>
      <c r="M14" s="63" t="s">
        <v>200</v>
      </c>
      <c r="N14" s="11" t="s">
        <v>364</v>
      </c>
      <c r="O14" s="8"/>
      <c r="P14" s="8"/>
    </row>
    <row r="15" spans="1:16" ht="16" x14ac:dyDescent="0.2">
      <c r="A15" s="63" t="s">
        <v>149</v>
      </c>
      <c r="B15" s="64">
        <f>CA!G53</f>
        <v>40402.876212668045</v>
      </c>
      <c r="C15" s="64">
        <f>'Coûts &amp; variables'!D45</f>
        <v>12064.400799566569</v>
      </c>
      <c r="D15" s="64">
        <f>'Coûts &amp; variables'!B62</f>
        <v>28338.475413101478</v>
      </c>
      <c r="E15" s="64">
        <f>'Coûts &amp; variables'!B119*3+0.013*CA!G53</f>
        <v>6675.2373907646843</v>
      </c>
      <c r="F15" s="64">
        <f>'Coûts &amp; variables'!B102*3</f>
        <v>34860</v>
      </c>
      <c r="G15" s="64">
        <f>B15-C15-F15-E15</f>
        <v>-13196.761977663205</v>
      </c>
      <c r="H15" s="64">
        <f>'Coûts &amp; variables'!F134</f>
        <v>3763.0952380952385</v>
      </c>
      <c r="I15" s="64">
        <f>G15-H15</f>
        <v>-16959.857215758442</v>
      </c>
      <c r="J15" s="64">
        <f>'Coûts &amp; variables'!C139+'Coûts &amp; variables'!C140+'Coûts &amp; variables'!C141</f>
        <v>890.68773882415644</v>
      </c>
      <c r="K15" s="64">
        <f>I15-J15</f>
        <v>-17850.544954582598</v>
      </c>
      <c r="L15" s="64">
        <f>IF(K15&lt;=0,0,K15*0.25)</f>
        <v>0</v>
      </c>
      <c r="M15" s="64">
        <f>K15-L15</f>
        <v>-17850.544954582598</v>
      </c>
      <c r="N15" s="54">
        <f>M15/B15</f>
        <v>-0.44181371792995472</v>
      </c>
      <c r="O15" s="8"/>
      <c r="P15" s="8"/>
    </row>
    <row r="16" spans="1:16" ht="16" x14ac:dyDescent="0.2">
      <c r="A16" s="63" t="s">
        <v>150</v>
      </c>
      <c r="B16" s="64">
        <f>CA!G54</f>
        <v>55921.432539568836</v>
      </c>
      <c r="C16" s="64">
        <f>'Coûts &amp; variables'!D46</f>
        <v>16698.280882086005</v>
      </c>
      <c r="D16" s="64">
        <f>'Coûts &amp; variables'!B63</f>
        <v>39223.151657482827</v>
      </c>
      <c r="E16" s="64">
        <f>'Coûts &amp; variables'!B119*3+0.013*CA!G54</f>
        <v>6876.9786230143945</v>
      </c>
      <c r="F16" s="64">
        <f>'Coûts &amp; variables'!B102*3</f>
        <v>34860</v>
      </c>
      <c r="G16" s="64">
        <f t="shared" ref="G16:G26" si="0">B16-C16-F16-E16</f>
        <v>-2513.8269655315671</v>
      </c>
      <c r="H16" s="64">
        <f>'Coûts &amp; variables'!F134</f>
        <v>3763.0952380952385</v>
      </c>
      <c r="I16" s="64">
        <f t="shared" ref="I16:I26" si="1">G16-H16</f>
        <v>-6276.9222036268056</v>
      </c>
      <c r="J16" s="64">
        <f>'Coûts &amp; variables'!C142+'Coûts &amp; variables'!C143+'Coûts &amp; variables'!C144</f>
        <v>862.59540573851348</v>
      </c>
      <c r="K16" s="64">
        <f t="shared" ref="K16:K26" si="2">I16-J16</f>
        <v>-7139.517609365319</v>
      </c>
      <c r="L16" s="64">
        <f t="shared" ref="L16:L26" si="3">IF(K16&lt;=0,0,K16*0.25)</f>
        <v>0</v>
      </c>
      <c r="M16" s="64">
        <f t="shared" ref="M16:M26" si="4">K16-L16</f>
        <v>-7139.517609365319</v>
      </c>
      <c r="N16" s="54">
        <f t="shared" ref="N16:N26" si="5">M16/B16</f>
        <v>-0.12767050637183777</v>
      </c>
      <c r="O16" s="8"/>
      <c r="P16" s="8"/>
    </row>
    <row r="17" spans="1:21" ht="16" x14ac:dyDescent="0.2">
      <c r="A17" s="63" t="s">
        <v>151</v>
      </c>
      <c r="B17" s="64">
        <f>CA!G55</f>
        <v>53313.621953267699</v>
      </c>
      <c r="C17" s="64">
        <f>'Coûts &amp; variables'!D47</f>
        <v>15919.582059831737</v>
      </c>
      <c r="D17" s="64">
        <f>'Coûts &amp; variables'!B64</f>
        <v>37394.039893435962</v>
      </c>
      <c r="E17" s="64">
        <f>'Coûts &amp; variables'!B119*3+0.013*CA!G55</f>
        <v>6843.0770853924805</v>
      </c>
      <c r="F17" s="64">
        <f>'Coûts &amp; variables'!B102*3</f>
        <v>34860</v>
      </c>
      <c r="G17" s="64">
        <f t="shared" si="0"/>
        <v>-4309.0371919565187</v>
      </c>
      <c r="H17" s="64">
        <f>'Coûts &amp; variables'!F134</f>
        <v>3763.0952380952385</v>
      </c>
      <c r="I17" s="64">
        <f t="shared" si="1"/>
        <v>-8072.1324300517572</v>
      </c>
      <c r="J17" s="64">
        <f>'Coûts &amp; variables'!C145+'Coûts &amp; variables'!C146+'Coûts &amp; variables'!C147</f>
        <v>834.22121187045445</v>
      </c>
      <c r="K17" s="64">
        <f t="shared" si="2"/>
        <v>-8906.353641922211</v>
      </c>
      <c r="L17" s="64">
        <f t="shared" si="3"/>
        <v>0</v>
      </c>
      <c r="M17" s="64">
        <f t="shared" si="4"/>
        <v>-8906.353641922211</v>
      </c>
      <c r="N17" s="54">
        <f t="shared" si="5"/>
        <v>-0.16705587269477051</v>
      </c>
      <c r="O17" s="8"/>
      <c r="P17" s="8"/>
    </row>
    <row r="18" spans="1:21" ht="16" x14ac:dyDescent="0.2">
      <c r="A18" s="63" t="s">
        <v>152</v>
      </c>
      <c r="B18" s="64">
        <f>CA!G56</f>
        <v>72458.509866445238</v>
      </c>
      <c r="C18" s="64">
        <f>'Coûts &amp; variables'!D48</f>
        <v>21636.293905582257</v>
      </c>
      <c r="D18" s="64">
        <f>'Coûts &amp; variables'!B65</f>
        <v>50822.215960862981</v>
      </c>
      <c r="E18" s="64">
        <f>'Coûts &amp; variables'!B119*3+0.013*CA!G56</f>
        <v>7091.9606282637878</v>
      </c>
      <c r="F18" s="64">
        <f>'Coûts &amp; variables'!B102*3</f>
        <v>34860</v>
      </c>
      <c r="G18" s="64">
        <f t="shared" si="0"/>
        <v>8870.2553325991939</v>
      </c>
      <c r="H18" s="64">
        <f>'Coûts &amp; variables'!F134</f>
        <v>3763.0952380952385</v>
      </c>
      <c r="I18" s="64">
        <f t="shared" si="1"/>
        <v>5107.1600945039554</v>
      </c>
      <c r="J18" s="64">
        <f>'Coûts &amp; variables'!C148+'Coûts &amp; variables'!C149+'Coûts &amp; variables'!C150</f>
        <v>805.56232920635625</v>
      </c>
      <c r="K18" s="64">
        <f t="shared" si="2"/>
        <v>4301.5977652975989</v>
      </c>
      <c r="L18" s="64">
        <f t="shared" si="3"/>
        <v>1075.3994413243997</v>
      </c>
      <c r="M18" s="64">
        <f t="shared" si="4"/>
        <v>3226.198323973199</v>
      </c>
      <c r="N18" s="54">
        <f t="shared" si="5"/>
        <v>4.4524767759089909E-2</v>
      </c>
      <c r="O18" s="8"/>
      <c r="P18" s="8"/>
    </row>
    <row r="19" spans="1:21" ht="16" x14ac:dyDescent="0.2">
      <c r="A19" s="63" t="s">
        <v>158</v>
      </c>
      <c r="B19" s="64">
        <f>CA!G57</f>
        <v>75492.576316254097</v>
      </c>
      <c r="C19" s="64">
        <f>'Coûts &amp; variables'!D49</f>
        <v>20486.310984600143</v>
      </c>
      <c r="D19" s="64">
        <f>'Coûts &amp; variables'!B66</f>
        <v>55006.265331653951</v>
      </c>
      <c r="E19" s="64">
        <f>'Coûts &amp; variables'!C119*3+0.013*CA!G57</f>
        <v>8316.4034921113034</v>
      </c>
      <c r="F19" s="64">
        <f>'Coûts &amp; variables'!C102*3</f>
        <v>61398.3</v>
      </c>
      <c r="G19" s="64">
        <f t="shared" si="0"/>
        <v>-14708.438160457355</v>
      </c>
      <c r="H19" s="64">
        <f>'Coûts &amp; variables'!F134</f>
        <v>3763.0952380952385</v>
      </c>
      <c r="I19" s="64">
        <f t="shared" si="1"/>
        <v>-18471.533398552594</v>
      </c>
      <c r="J19" s="64">
        <f>'Coûts &amp; variables'!C151+'Coûts &amp; variables'!C152+'Coûts &amp; variables'!C153</f>
        <v>776.61590135808865</v>
      </c>
      <c r="K19" s="64">
        <f t="shared" si="2"/>
        <v>-19248.149299910681</v>
      </c>
      <c r="L19" s="64">
        <f t="shared" si="3"/>
        <v>0</v>
      </c>
      <c r="M19" s="64">
        <f t="shared" si="4"/>
        <v>-19248.149299910681</v>
      </c>
      <c r="N19" s="54">
        <f t="shared" si="5"/>
        <v>-0.25496744500116386</v>
      </c>
      <c r="O19" s="8"/>
      <c r="P19" s="8"/>
    </row>
    <row r="20" spans="1:21" ht="16" x14ac:dyDescent="0.2">
      <c r="A20" s="63" t="s">
        <v>159</v>
      </c>
      <c r="B20" s="64">
        <f>CA!G58</f>
        <v>97014.419802181976</v>
      </c>
      <c r="C20" s="64">
        <f>'Coûts &amp; variables'!D50</f>
        <v>26326.662448664298</v>
      </c>
      <c r="D20" s="64">
        <f>'Coûts &amp; variables'!B67</f>
        <v>70687.757353517678</v>
      </c>
      <c r="E20" s="64">
        <f>'Coûts &amp; variables'!C119*3+0.013*CA!G58</f>
        <v>8596.1874574283647</v>
      </c>
      <c r="F20" s="64">
        <f>'Coûts &amp; variables'!C102*3</f>
        <v>61398.3</v>
      </c>
      <c r="G20" s="64">
        <f t="shared" si="0"/>
        <v>693.26989608931035</v>
      </c>
      <c r="H20" s="64">
        <f>'Coûts &amp; variables'!F134</f>
        <v>3763.0952380952385</v>
      </c>
      <c r="I20" s="64">
        <f t="shared" si="1"/>
        <v>-3069.8253420059282</v>
      </c>
      <c r="J20" s="64">
        <f>'Coûts &amp; variables'!C154+'Coûts &amp; variables'!C155+'Coûts &amp; variables'!C156</f>
        <v>747.37904327831995</v>
      </c>
      <c r="K20" s="64">
        <f t="shared" si="2"/>
        <v>-3817.204385284248</v>
      </c>
      <c r="L20" s="64">
        <f t="shared" si="3"/>
        <v>0</v>
      </c>
      <c r="M20" s="64">
        <f t="shared" si="4"/>
        <v>-3817.204385284248</v>
      </c>
      <c r="N20" s="54">
        <f t="shared" si="5"/>
        <v>-3.9346773325735995E-2</v>
      </c>
      <c r="O20" s="8"/>
      <c r="P20" s="8"/>
    </row>
    <row r="21" spans="1:21" ht="16" x14ac:dyDescent="0.2">
      <c r="A21" s="63" t="s">
        <v>160</v>
      </c>
      <c r="B21" s="64">
        <f>CA!G59</f>
        <v>87045.597102719999</v>
      </c>
      <c r="C21" s="64">
        <f>'Coûts &amp; variables'!D51</f>
        <v>23621.437485669514</v>
      </c>
      <c r="D21" s="64">
        <f>'Coûts &amp; variables'!B68</f>
        <v>63424.159617050485</v>
      </c>
      <c r="E21" s="64">
        <f>'Coûts &amp; variables'!C119*3+0.013*CA!G59</f>
        <v>8466.59276233536</v>
      </c>
      <c r="F21" s="64">
        <f>'Coûts &amp; variables'!C102*3</f>
        <v>61398.3</v>
      </c>
      <c r="G21" s="64">
        <f t="shared" si="0"/>
        <v>-6440.7331452848775</v>
      </c>
      <c r="H21" s="64">
        <f>'Coûts &amp; variables'!F134</f>
        <v>3763.0952380952385</v>
      </c>
      <c r="I21" s="64">
        <f t="shared" si="1"/>
        <v>-10203.828383380116</v>
      </c>
      <c r="J21" s="64">
        <f>'Coûts &amp; variables'!C157+'Coûts &amp; variables'!C158+'Coûts &amp; variables'!C159</f>
        <v>717.84884097297095</v>
      </c>
      <c r="K21" s="64">
        <f t="shared" si="2"/>
        <v>-10921.677224353087</v>
      </c>
      <c r="L21" s="64">
        <f t="shared" si="3"/>
        <v>0</v>
      </c>
      <c r="M21" s="64">
        <f t="shared" si="4"/>
        <v>-10921.677224353087</v>
      </c>
      <c r="N21" s="54">
        <f t="shared" si="5"/>
        <v>-0.12547076001402724</v>
      </c>
      <c r="O21" s="8"/>
      <c r="P21" s="8"/>
    </row>
    <row r="22" spans="1:21" ht="16" x14ac:dyDescent="0.2">
      <c r="A22" s="63" t="s">
        <v>161</v>
      </c>
      <c r="B22" s="64">
        <f>CA!G60</f>
        <v>114408.85686444122</v>
      </c>
      <c r="C22" s="64">
        <f>'Coûts &amp; variables'!D52</f>
        <v>30655.731736327281</v>
      </c>
      <c r="D22" s="64">
        <f>'Coûts &amp; variables'!B69</f>
        <v>83753.125128113927</v>
      </c>
      <c r="E22" s="64">
        <f>'Coûts &amp; variables'!C119*3+0.013*CA!G60</f>
        <v>8822.3151392377367</v>
      </c>
      <c r="F22" s="64">
        <f>'Coûts &amp; variables'!C102*3</f>
        <v>61398.3</v>
      </c>
      <c r="G22" s="64">
        <f t="shared" si="0"/>
        <v>13532.509988876187</v>
      </c>
      <c r="H22" s="64">
        <f>'Coûts &amp; variables'!F134</f>
        <v>3763.0952380952385</v>
      </c>
      <c r="I22" s="64">
        <f t="shared" si="1"/>
        <v>9769.4147507809485</v>
      </c>
      <c r="J22" s="64">
        <f>'Coûts &amp; variables'!C160+'Coûts &amp; variables'!C161+'Coûts &amp; variables'!C162</f>
        <v>688.02235121078036</v>
      </c>
      <c r="K22" s="64">
        <f t="shared" si="2"/>
        <v>9081.392399570168</v>
      </c>
      <c r="L22" s="64">
        <f t="shared" si="3"/>
        <v>2270.348099892542</v>
      </c>
      <c r="M22" s="64">
        <f>K22-L22</f>
        <v>6811.0442996776255</v>
      </c>
      <c r="N22" s="54">
        <f t="shared" si="5"/>
        <v>5.9532491507609218E-2</v>
      </c>
      <c r="O22" s="8"/>
      <c r="P22" s="8"/>
    </row>
    <row r="23" spans="1:21" ht="16" x14ac:dyDescent="0.2">
      <c r="A23" s="63" t="s">
        <v>162</v>
      </c>
      <c r="B23" s="64">
        <f>CA!G61</f>
        <v>113678.38559955258</v>
      </c>
      <c r="C23" s="64">
        <f>'Coûts &amp; variables'!D53</f>
        <v>29420.203967556561</v>
      </c>
      <c r="D23" s="64">
        <f>'Coûts &amp; variables'!B70</f>
        <v>84258.18163199602</v>
      </c>
      <c r="E23" s="64">
        <f>'Coûts &amp; variables'!D119*3+0.013*CA!G61</f>
        <v>9851.8690127941845</v>
      </c>
      <c r="F23" s="64">
        <f>'Coûts &amp; variables'!D102*3</f>
        <v>73265.754000000015</v>
      </c>
      <c r="G23" s="64">
        <f t="shared" si="0"/>
        <v>1140.55861920182</v>
      </c>
      <c r="H23" s="64">
        <f>'Coûts &amp; variables'!F134</f>
        <v>3763.0952380952385</v>
      </c>
      <c r="I23" s="64">
        <f t="shared" si="1"/>
        <v>-2622.5366188934186</v>
      </c>
      <c r="J23" s="64">
        <f>'Coûts &amp; variables'!C163+'Coûts &amp; variables'!C164+'Coûts &amp; variables'!C165</f>
        <v>657.89660122995758</v>
      </c>
      <c r="K23" s="64">
        <f t="shared" si="2"/>
        <v>-3280.433220123376</v>
      </c>
      <c r="L23" s="64">
        <f t="shared" si="3"/>
        <v>0</v>
      </c>
      <c r="M23" s="64">
        <f t="shared" si="4"/>
        <v>-3280.433220123376</v>
      </c>
      <c r="N23" s="54">
        <f t="shared" si="5"/>
        <v>-2.885714116031823E-2</v>
      </c>
      <c r="O23" s="8"/>
      <c r="P23" s="8"/>
    </row>
    <row r="24" spans="1:21" ht="16" x14ac:dyDescent="0.2">
      <c r="A24" s="63" t="s">
        <v>163</v>
      </c>
      <c r="B24" s="64">
        <f>CA!G62</f>
        <v>141669.17080614448</v>
      </c>
      <c r="C24" s="64">
        <f>'Coûts &amp; variables'!D54</f>
        <v>36664.27772570149</v>
      </c>
      <c r="D24" s="64">
        <f>'Coûts &amp; variables'!B71</f>
        <v>105004.893080443</v>
      </c>
      <c r="E24" s="64">
        <f>'Coûts &amp; variables'!D119*3+0.013*CA!G62</f>
        <v>10215.74922047988</v>
      </c>
      <c r="F24" s="64">
        <f>'Coûts &amp; variables'!D102*3</f>
        <v>73265.754000000015</v>
      </c>
      <c r="G24" s="64">
        <f t="shared" si="0"/>
        <v>21523.389859963103</v>
      </c>
      <c r="H24" s="64">
        <f>'Coûts &amp; variables'!F134</f>
        <v>3763.0952380952385</v>
      </c>
      <c r="I24" s="64">
        <f t="shared" si="1"/>
        <v>17760.294621867863</v>
      </c>
      <c r="J24" s="64">
        <f>'Coûts &amp; variables'!C166+'Coûts &amp; variables'!C167+'Coûts &amp; variables'!C168</f>
        <v>627.46858844189228</v>
      </c>
      <c r="K24" s="64">
        <f t="shared" si="2"/>
        <v>17132.826033425968</v>
      </c>
      <c r="L24" s="64">
        <f t="shared" si="3"/>
        <v>4283.2065083564921</v>
      </c>
      <c r="M24" s="64">
        <f t="shared" si="4"/>
        <v>12849.619525069476</v>
      </c>
      <c r="N24" s="54">
        <f t="shared" si="5"/>
        <v>9.0701593380909107E-2</v>
      </c>
      <c r="O24" s="8"/>
      <c r="P24" s="8"/>
    </row>
    <row r="25" spans="1:21" ht="16" x14ac:dyDescent="0.2">
      <c r="A25" s="63" t="s">
        <v>164</v>
      </c>
      <c r="B25" s="64">
        <f>CA!G63</f>
        <v>123823.44840864913</v>
      </c>
      <c r="C25" s="64">
        <f>'Coûts &amp; variables'!D55</f>
        <v>32045.767442381872</v>
      </c>
      <c r="D25" s="64">
        <f>'Coûts &amp; variables'!B72</f>
        <v>91777.68096626726</v>
      </c>
      <c r="E25" s="64">
        <f>'Coûts &amp; variables'!D119*3+0.013*CA!G63</f>
        <v>9983.7548293124401</v>
      </c>
      <c r="F25" s="64">
        <f>'Coûts &amp; variables'!D102*3</f>
        <v>73265.754000000015</v>
      </c>
      <c r="G25" s="64">
        <f t="shared" si="0"/>
        <v>8528.172136954805</v>
      </c>
      <c r="H25" s="64">
        <f>'Coûts &amp; variables'!F134</f>
        <v>3763.0952380952385</v>
      </c>
      <c r="I25" s="64">
        <f t="shared" si="1"/>
        <v>4765.0768988595664</v>
      </c>
      <c r="J25" s="64">
        <f>'Coûts &amp; variables'!C169+'Coûts &amp; variables'!C170+'Coûts &amp; variables'!C171</f>
        <v>596.73528013188968</v>
      </c>
      <c r="K25" s="64">
        <f t="shared" si="2"/>
        <v>4168.3416187276771</v>
      </c>
      <c r="L25" s="64">
        <f t="shared" si="3"/>
        <v>1042.0854046819193</v>
      </c>
      <c r="M25" s="64">
        <f t="shared" si="4"/>
        <v>3126.2562140457576</v>
      </c>
      <c r="N25" s="54">
        <f t="shared" si="5"/>
        <v>2.5247691404363982E-2</v>
      </c>
      <c r="O25" s="8"/>
      <c r="P25" s="8"/>
    </row>
    <row r="26" spans="1:21" ht="16" x14ac:dyDescent="0.2">
      <c r="A26" s="63" t="s">
        <v>165</v>
      </c>
      <c r="B26" s="64">
        <f>CA!G64</f>
        <v>157074.79603676606</v>
      </c>
      <c r="C26" s="64">
        <f>'Coûts &amp; variables'!D56</f>
        <v>40651.285758426457</v>
      </c>
      <c r="D26" s="64">
        <f>'Coûts &amp; variables'!B73</f>
        <v>116423.5102783396</v>
      </c>
      <c r="E26" s="64">
        <f>'Coûts &amp; variables'!D119*3+0.013*CA!G64</f>
        <v>10416.02234847796</v>
      </c>
      <c r="F26" s="64">
        <f>'Coûts &amp; variables'!D102*3</f>
        <v>73265.754000000015</v>
      </c>
      <c r="G26" s="64">
        <f t="shared" si="0"/>
        <v>32741.733929861624</v>
      </c>
      <c r="H26" s="64">
        <f>'Coûts &amp; variables'!F134</f>
        <v>3763.0952380952385</v>
      </c>
      <c r="I26" s="64">
        <f t="shared" si="1"/>
        <v>28978.638691766384</v>
      </c>
      <c r="J26" s="64">
        <f>'Coûts &amp; variables'!C172+'Coûts &amp; variables'!C173+'Coûts &amp; variables'!C174</f>
        <v>565.69361315690617</v>
      </c>
      <c r="K26" s="64">
        <f t="shared" si="2"/>
        <v>28412.945078609479</v>
      </c>
      <c r="L26" s="64">
        <f t="shared" si="3"/>
        <v>7103.2362696523696</v>
      </c>
      <c r="M26" s="64">
        <f t="shared" si="4"/>
        <v>21309.708808957108</v>
      </c>
      <c r="N26" s="54">
        <f t="shared" si="5"/>
        <v>0.13566599700673304</v>
      </c>
      <c r="O26" s="8"/>
      <c r="P26" s="8"/>
    </row>
    <row r="27" spans="1:2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2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2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21" x14ac:dyDescent="0.2">
      <c r="A30" s="8"/>
      <c r="B30" s="8"/>
      <c r="C30" s="8"/>
      <c r="D30" s="8"/>
      <c r="E30" s="31" t="s">
        <v>288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21" ht="19" x14ac:dyDescent="0.25">
      <c r="A31" s="138" t="s">
        <v>409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8"/>
      <c r="P31" s="8"/>
    </row>
    <row r="32" spans="1:21" ht="16" x14ac:dyDescent="0.2">
      <c r="A32" s="57" t="s">
        <v>4</v>
      </c>
      <c r="B32" s="63" t="s">
        <v>267</v>
      </c>
      <c r="C32" s="63" t="s">
        <v>195</v>
      </c>
      <c r="D32" s="63" t="s">
        <v>130</v>
      </c>
      <c r="E32" s="63" t="s">
        <v>196</v>
      </c>
      <c r="F32" s="63" t="s">
        <v>131</v>
      </c>
      <c r="G32" s="63" t="s">
        <v>132</v>
      </c>
      <c r="H32" s="63" t="s">
        <v>197</v>
      </c>
      <c r="I32" s="63" t="s">
        <v>289</v>
      </c>
      <c r="J32" s="63" t="s">
        <v>198</v>
      </c>
      <c r="K32" s="63" t="s">
        <v>202</v>
      </c>
      <c r="L32" s="63" t="s">
        <v>199</v>
      </c>
      <c r="M32" s="63" t="s">
        <v>200</v>
      </c>
      <c r="N32" s="11" t="s">
        <v>364</v>
      </c>
      <c r="O32" s="8"/>
      <c r="P32" s="8"/>
      <c r="R32" s="57" t="s">
        <v>4</v>
      </c>
      <c r="S32" s="98" t="str">
        <f>M32</f>
        <v>Résultat net</v>
      </c>
      <c r="T32" s="99" t="s">
        <v>267</v>
      </c>
      <c r="U32" s="99" t="s">
        <v>429</v>
      </c>
    </row>
    <row r="33" spans="1:21" ht="16" x14ac:dyDescent="0.2">
      <c r="A33" s="54" t="s">
        <v>226</v>
      </c>
      <c r="B33" s="54">
        <f>CA!F71</f>
        <v>11640.239999721023</v>
      </c>
      <c r="C33" s="54">
        <f>'Coûts &amp; variables'!K45</f>
        <v>3475.8050397350025</v>
      </c>
      <c r="D33" s="54">
        <f>'Coûts &amp; variables'!N45</f>
        <v>8164.4349599860207</v>
      </c>
      <c r="E33" s="54">
        <f>'Coûts &amp; variables'!$B$119+0.013*CA!F115</f>
        <v>2222.2314879999999</v>
      </c>
      <c r="F33" s="54">
        <f>'Coûts &amp; variables'!$B$102</f>
        <v>11620</v>
      </c>
      <c r="G33" s="54">
        <f>B33-C33-F33-E33</f>
        <v>-5677.7965280139797</v>
      </c>
      <c r="H33" s="54">
        <f>'Coûts &amp; variables'!$G$134</f>
        <v>1254.3650793650793</v>
      </c>
      <c r="I33" s="54">
        <f>G33-H33</f>
        <v>-6932.1616073790592</v>
      </c>
      <c r="J33" s="54">
        <f>'Coûts &amp; variables'!C139</f>
        <v>300</v>
      </c>
      <c r="K33" s="54">
        <f>I33-J33</f>
        <v>-7232.1616073790592</v>
      </c>
      <c r="L33" s="54">
        <f>IF(K33&lt;=0,0,K33*0.25)</f>
        <v>0</v>
      </c>
      <c r="M33" s="54">
        <f>K33-L33</f>
        <v>-7232.1616073790592</v>
      </c>
      <c r="N33" s="54">
        <f>M33/B33</f>
        <v>-0.62130691528287985</v>
      </c>
      <c r="O33" s="8"/>
      <c r="P33" s="8"/>
      <c r="R33" s="11" t="s">
        <v>226</v>
      </c>
      <c r="S33" s="5">
        <f t="shared" ref="S33:S68" si="6">M33</f>
        <v>-7232.1616073790592</v>
      </c>
      <c r="T33" s="5">
        <f>B33</f>
        <v>11640.239999721023</v>
      </c>
      <c r="U33" s="5">
        <f>E33+F33+C33</f>
        <v>17318.036527735003</v>
      </c>
    </row>
    <row r="34" spans="1:21" ht="16" x14ac:dyDescent="0.2">
      <c r="A34" s="54" t="s">
        <v>228</v>
      </c>
      <c r="B34" s="54">
        <f>CA!F72</f>
        <v>13162.730481502716</v>
      </c>
      <c r="C34" s="54">
        <f>'Coûts &amp; variables'!K46</f>
        <v>3930.4245398185249</v>
      </c>
      <c r="D34" s="54">
        <f>'Coûts &amp; variables'!N46</f>
        <v>9232.3059416841916</v>
      </c>
      <c r="E34" s="54">
        <f>'Coûts &amp; variables'!$B$119+0.013*CA!F116</f>
        <v>2244.75858376</v>
      </c>
      <c r="F34" s="54">
        <f>'Coûts &amp; variables'!$B$102</f>
        <v>11620</v>
      </c>
      <c r="G34" s="54">
        <f t="shared" ref="G34:G68" si="7">B34-C34-F34-E34</f>
        <v>-4632.4526420758084</v>
      </c>
      <c r="H34" s="54">
        <f>'Coûts &amp; variables'!$G$134</f>
        <v>1254.3650793650793</v>
      </c>
      <c r="I34" s="54">
        <f t="shared" ref="I34:I68" si="8">G34-H34</f>
        <v>-5886.8177214408879</v>
      </c>
      <c r="J34" s="54">
        <f>'Coûts &amp; variables'!C140</f>
        <v>296.89935809905319</v>
      </c>
      <c r="K34" s="54">
        <f>I34-J34</f>
        <v>-6183.7170795399416</v>
      </c>
      <c r="L34" s="54">
        <f t="shared" ref="L34:L68" si="9">IF(K34&lt;=0,0,K34*0.25)</f>
        <v>0</v>
      </c>
      <c r="M34" s="54">
        <f t="shared" ref="M34:M68" si="10">K34-L34</f>
        <v>-6183.7170795399416</v>
      </c>
      <c r="N34" s="54">
        <f t="shared" ref="N34:N68" si="11">M34/B34</f>
        <v>-0.46978984248213373</v>
      </c>
      <c r="O34" s="8"/>
      <c r="P34" s="8"/>
      <c r="R34" s="11" t="s">
        <v>228</v>
      </c>
      <c r="S34" s="5">
        <f t="shared" si="6"/>
        <v>-6183.7170795399416</v>
      </c>
      <c r="T34" s="5">
        <f t="shared" ref="T34:T68" si="12">B34</f>
        <v>13162.730481502716</v>
      </c>
      <c r="U34" s="5">
        <f t="shared" ref="U34:U68" si="13">E34+F34+C34</f>
        <v>17795.183123578525</v>
      </c>
    </row>
    <row r="35" spans="1:21" ht="16" x14ac:dyDescent="0.2">
      <c r="A35" s="54" t="s">
        <v>229</v>
      </c>
      <c r="B35" s="54">
        <f>CA!F73</f>
        <v>15599.905731444307</v>
      </c>
      <c r="C35" s="54">
        <f>'Coûts &amp; variables'!K47</f>
        <v>4658.1712200130414</v>
      </c>
      <c r="D35" s="54">
        <f>'Coûts &amp; variables'!N47</f>
        <v>10941.734511431267</v>
      </c>
      <c r="E35" s="54">
        <f>'Coûts &amp; variables'!$B$119+0.013*CA!F117</f>
        <v>2280.81955156</v>
      </c>
      <c r="F35" s="54">
        <f>'Coûts &amp; variables'!$B$102</f>
        <v>11620</v>
      </c>
      <c r="G35" s="54">
        <f t="shared" si="7"/>
        <v>-2959.0850401287335</v>
      </c>
      <c r="H35" s="54">
        <f>'Coûts &amp; variables'!$G$134</f>
        <v>1254.3650793650793</v>
      </c>
      <c r="I35" s="54">
        <f t="shared" si="8"/>
        <v>-4213.450119493813</v>
      </c>
      <c r="J35" s="54">
        <f>'Coûts &amp; variables'!C141</f>
        <v>293.7883807251032</v>
      </c>
      <c r="K35" s="54">
        <f t="shared" ref="K35:K68" si="14">I35-J35</f>
        <v>-4507.2385002189158</v>
      </c>
      <c r="L35" s="54">
        <f t="shared" si="9"/>
        <v>0</v>
      </c>
      <c r="M35" s="54">
        <f t="shared" si="10"/>
        <v>-4507.2385002189158</v>
      </c>
      <c r="N35" s="54">
        <f t="shared" si="11"/>
        <v>-0.28892729083187968</v>
      </c>
      <c r="O35" s="8"/>
      <c r="P35" s="8"/>
      <c r="R35" s="11" t="s">
        <v>229</v>
      </c>
      <c r="S35" s="5">
        <f t="shared" si="6"/>
        <v>-4507.2385002189158</v>
      </c>
      <c r="T35" s="5">
        <f t="shared" si="12"/>
        <v>15599.905731444307</v>
      </c>
      <c r="U35" s="5">
        <f t="shared" si="13"/>
        <v>18558.990771573041</v>
      </c>
    </row>
    <row r="36" spans="1:21" ht="16" x14ac:dyDescent="0.2">
      <c r="A36" s="54" t="s">
        <v>230</v>
      </c>
      <c r="B36" s="54">
        <f>CA!F74</f>
        <v>17357.185145038551</v>
      </c>
      <c r="C36" s="54">
        <f>'Coûts &amp; variables'!K48</f>
        <v>5182.8992876593984</v>
      </c>
      <c r="D36" s="54">
        <f>'Coûts &amp; variables'!N48</f>
        <v>12174.285857379153</v>
      </c>
      <c r="E36" s="54">
        <f>'Coûts &amp; variables'!$B$119+0.013*CA!F118</f>
        <v>2306.8206347199998</v>
      </c>
      <c r="F36" s="54">
        <f>'Coûts &amp; variables'!$B$102</f>
        <v>11620</v>
      </c>
      <c r="G36" s="54">
        <f t="shared" si="7"/>
        <v>-1752.5347773408471</v>
      </c>
      <c r="H36" s="54">
        <f>'Coûts &amp; variables'!$G$134</f>
        <v>1254.3650793650793</v>
      </c>
      <c r="I36" s="54">
        <f t="shared" si="8"/>
        <v>-3006.8998567059261</v>
      </c>
      <c r="J36" s="54">
        <f>'Coûts &amp; variables'!C142</f>
        <v>290.66703342657337</v>
      </c>
      <c r="K36" s="54">
        <f t="shared" si="14"/>
        <v>-3297.5668901324993</v>
      </c>
      <c r="L36" s="54">
        <f t="shared" si="9"/>
        <v>0</v>
      </c>
      <c r="M36" s="54">
        <f t="shared" si="10"/>
        <v>-3297.5668901324993</v>
      </c>
      <c r="N36" s="54">
        <f t="shared" si="11"/>
        <v>-0.18998281475813428</v>
      </c>
      <c r="O36" s="8"/>
      <c r="P36" s="8"/>
      <c r="R36" s="11" t="s">
        <v>230</v>
      </c>
      <c r="S36" s="5">
        <f t="shared" si="6"/>
        <v>-3297.5668901324993</v>
      </c>
      <c r="T36" s="5">
        <f t="shared" si="12"/>
        <v>17357.185145038551</v>
      </c>
      <c r="U36" s="5">
        <f t="shared" si="13"/>
        <v>19109.719922379398</v>
      </c>
    </row>
    <row r="37" spans="1:21" ht="16" x14ac:dyDescent="0.2">
      <c r="A37" s="54" t="s">
        <v>231</v>
      </c>
      <c r="B37" s="54">
        <f>CA!F75</f>
        <v>19207.057376812394</v>
      </c>
      <c r="C37" s="54">
        <f>'Coûts &amp; variables'!K49</f>
        <v>5735.2758044854663</v>
      </c>
      <c r="D37" s="54">
        <f>'Coûts &amp; variables'!N49</f>
        <v>13471.781572326927</v>
      </c>
      <c r="E37" s="54">
        <f>'Coûts &amp; variables'!$B$119+0.013*CA!F119</f>
        <v>2334.1917410799997</v>
      </c>
      <c r="F37" s="54">
        <f>'Coûts &amp; variables'!$B$102</f>
        <v>11620</v>
      </c>
      <c r="G37" s="54">
        <f t="shared" si="7"/>
        <v>-482.41016875307287</v>
      </c>
      <c r="H37" s="54">
        <f>'Coûts &amp; variables'!$G$134</f>
        <v>1254.3650793650793</v>
      </c>
      <c r="I37" s="54">
        <f t="shared" si="8"/>
        <v>-1736.7752481181521</v>
      </c>
      <c r="J37" s="54">
        <f>'Coûts &amp; variables'!C143</f>
        <v>287.5352816370484</v>
      </c>
      <c r="K37" s="54">
        <f t="shared" si="14"/>
        <v>-2024.3105297552006</v>
      </c>
      <c r="L37" s="54">
        <f t="shared" si="9"/>
        <v>0</v>
      </c>
      <c r="M37" s="54">
        <f t="shared" si="10"/>
        <v>-2024.3105297552006</v>
      </c>
      <c r="N37" s="54">
        <f t="shared" si="11"/>
        <v>-0.1053941002018892</v>
      </c>
      <c r="O37" s="8"/>
      <c r="P37" s="8"/>
      <c r="R37" s="11" t="s">
        <v>231</v>
      </c>
      <c r="S37" s="5">
        <f t="shared" si="6"/>
        <v>-2024.3105297552006</v>
      </c>
      <c r="T37" s="5">
        <f t="shared" si="12"/>
        <v>19207.057376812394</v>
      </c>
      <c r="U37" s="5">
        <f t="shared" si="13"/>
        <v>19689.467545565465</v>
      </c>
    </row>
    <row r="38" spans="1:21" ht="16" x14ac:dyDescent="0.2">
      <c r="A38" s="54" t="s">
        <v>232</v>
      </c>
      <c r="B38" s="54">
        <f>CA!F76</f>
        <v>19357.19001771789</v>
      </c>
      <c r="C38" s="54">
        <f>'Coûts &amp; variables'!K50</f>
        <v>5780.1057899411408</v>
      </c>
      <c r="D38" s="54">
        <f>'Coûts &amp; variables'!N50</f>
        <v>13577.08422777675</v>
      </c>
      <c r="E38" s="54">
        <f>'Coûts &amp; variables'!$B$119+0.013*CA!F120</f>
        <v>2336.41313584</v>
      </c>
      <c r="F38" s="54">
        <f>'Coûts &amp; variables'!$B$102</f>
        <v>11620</v>
      </c>
      <c r="G38" s="54">
        <f t="shared" si="7"/>
        <v>-379.32890806325031</v>
      </c>
      <c r="H38" s="54">
        <f>'Coûts &amp; variables'!$G$134</f>
        <v>1254.3650793650793</v>
      </c>
      <c r="I38" s="54">
        <f t="shared" si="8"/>
        <v>-1633.6939874283296</v>
      </c>
      <c r="J38" s="54">
        <f>'Coûts &amp; variables'!C144</f>
        <v>284.39309067489171</v>
      </c>
      <c r="K38" s="54">
        <f t="shared" si="14"/>
        <v>-1918.0870781032213</v>
      </c>
      <c r="L38" s="54">
        <f t="shared" si="9"/>
        <v>0</v>
      </c>
      <c r="M38" s="54">
        <f t="shared" si="10"/>
        <v>-1918.0870781032213</v>
      </c>
      <c r="N38" s="54">
        <f t="shared" si="11"/>
        <v>-9.9089127933732687E-2</v>
      </c>
      <c r="O38" s="8"/>
      <c r="P38" s="8"/>
      <c r="R38" s="11" t="s">
        <v>232</v>
      </c>
      <c r="S38" s="5">
        <f t="shared" si="6"/>
        <v>-1918.0870781032213</v>
      </c>
      <c r="T38" s="5">
        <f t="shared" si="12"/>
        <v>19357.19001771789</v>
      </c>
      <c r="U38" s="5">
        <f t="shared" si="13"/>
        <v>19736.518925781143</v>
      </c>
    </row>
    <row r="39" spans="1:21" ht="16" x14ac:dyDescent="0.2">
      <c r="A39" s="54" t="s">
        <v>233</v>
      </c>
      <c r="B39" s="54">
        <f>CA!F77</f>
        <v>16645.543199601059</v>
      </c>
      <c r="C39" s="54">
        <f>'Coûts &amp; variables'!K51</f>
        <v>4970.4012068210541</v>
      </c>
      <c r="D39" s="54">
        <f>'Coûts &amp; variables'!N51</f>
        <v>11675.141992780005</v>
      </c>
      <c r="E39" s="54">
        <f>'Coûts &amp; variables'!$B$119+0.013*CA!F121</f>
        <v>2296.29102784</v>
      </c>
      <c r="F39" s="54">
        <f>'Coûts &amp; variables'!$B$102</f>
        <v>11620</v>
      </c>
      <c r="G39" s="54">
        <f t="shared" si="7"/>
        <v>-2241.1490350599947</v>
      </c>
      <c r="H39" s="54">
        <f>'Coûts &amp; variables'!$G$134</f>
        <v>1254.3650793650793</v>
      </c>
      <c r="I39" s="54">
        <f t="shared" si="8"/>
        <v>-3495.5141144250738</v>
      </c>
      <c r="J39" s="54">
        <f>'Coûts &amp; variables'!C145</f>
        <v>281.24042574286113</v>
      </c>
      <c r="K39" s="54">
        <f t="shared" si="14"/>
        <v>-3776.7545401679349</v>
      </c>
      <c r="L39" s="54">
        <f t="shared" si="9"/>
        <v>0</v>
      </c>
      <c r="M39" s="54">
        <f t="shared" si="10"/>
        <v>-3776.7545401679349</v>
      </c>
      <c r="N39" s="54">
        <f t="shared" si="11"/>
        <v>-0.22689283821380199</v>
      </c>
      <c r="O39" s="8"/>
      <c r="P39" s="8"/>
      <c r="R39" s="11" t="s">
        <v>233</v>
      </c>
      <c r="S39" s="5">
        <f t="shared" si="6"/>
        <v>-3776.7545401679349</v>
      </c>
      <c r="T39" s="5">
        <f t="shared" si="12"/>
        <v>16645.543199601059</v>
      </c>
      <c r="U39" s="5">
        <f t="shared" si="13"/>
        <v>18886.692234661052</v>
      </c>
    </row>
    <row r="40" spans="1:21" ht="16" x14ac:dyDescent="0.2">
      <c r="A40" s="54" t="s">
        <v>234</v>
      </c>
      <c r="B40" s="54">
        <f>CA!F78</f>
        <v>15277.814999633842</v>
      </c>
      <c r="C40" s="54">
        <f>'Coûts &amp; variables'!K52</f>
        <v>4561.9941146521915</v>
      </c>
      <c r="D40" s="54">
        <f>'Coûts &amp; variables'!N52</f>
        <v>10715.820884981651</v>
      </c>
      <c r="E40" s="54">
        <f>'Coûts &amp; variables'!$B$119+0.013*CA!F122</f>
        <v>2276.0538280000001</v>
      </c>
      <c r="F40" s="54">
        <f>'Coûts &amp; variables'!$B$102</f>
        <v>11620</v>
      </c>
      <c r="G40" s="54">
        <f t="shared" si="7"/>
        <v>-3180.232943018349</v>
      </c>
      <c r="H40" s="54">
        <f>'Coûts &amp; variables'!$G$134</f>
        <v>1254.3650793650793</v>
      </c>
      <c r="I40" s="54">
        <f t="shared" si="8"/>
        <v>-4434.5980223834285</v>
      </c>
      <c r="J40" s="54">
        <f>'Coûts &amp; variables'!C146</f>
        <v>278.07725192772381</v>
      </c>
      <c r="K40" s="54">
        <f t="shared" si="14"/>
        <v>-4712.675274311152</v>
      </c>
      <c r="L40" s="54">
        <f t="shared" si="9"/>
        <v>0</v>
      </c>
      <c r="M40" s="54">
        <f t="shared" si="10"/>
        <v>-4712.675274311152</v>
      </c>
      <c r="N40" s="54">
        <f t="shared" si="11"/>
        <v>-0.30846526642874644</v>
      </c>
      <c r="O40" s="8"/>
      <c r="P40" s="8"/>
      <c r="R40" s="11" t="s">
        <v>234</v>
      </c>
      <c r="S40" s="5">
        <f t="shared" si="6"/>
        <v>-4712.675274311152</v>
      </c>
      <c r="T40" s="5">
        <f t="shared" si="12"/>
        <v>15277.814999633842</v>
      </c>
      <c r="U40" s="5">
        <f t="shared" si="13"/>
        <v>18458.047942652192</v>
      </c>
    </row>
    <row r="41" spans="1:21" ht="16" x14ac:dyDescent="0.2">
      <c r="A41" s="54" t="s">
        <v>235</v>
      </c>
      <c r="B41" s="54">
        <f>CA!F79</f>
        <v>21390.2637540328</v>
      </c>
      <c r="C41" s="54">
        <f>'Coûts &amp; variables'!K53</f>
        <v>6387.1867383584922</v>
      </c>
      <c r="D41" s="54">
        <f>'Coûts &amp; variables'!N53</f>
        <v>15003.077015674307</v>
      </c>
      <c r="E41" s="54">
        <f>'Coûts &amp; variables'!$B$119+0.013*CA!F123</f>
        <v>2366.4949309600001</v>
      </c>
      <c r="F41" s="54">
        <f>'Coûts &amp; variables'!$B$102</f>
        <v>11620</v>
      </c>
      <c r="G41" s="54">
        <f t="shared" si="7"/>
        <v>1016.5820847143073</v>
      </c>
      <c r="H41" s="54">
        <f>'Coûts &amp; variables'!$G$134</f>
        <v>1254.3650793650793</v>
      </c>
      <c r="I41" s="54">
        <f t="shared" si="8"/>
        <v>-237.78299465077203</v>
      </c>
      <c r="J41" s="54">
        <f>'Coûts &amp; variables'!C147</f>
        <v>274.9035341998694</v>
      </c>
      <c r="K41" s="54">
        <f t="shared" si="14"/>
        <v>-512.68652885064148</v>
      </c>
      <c r="L41" s="54">
        <f t="shared" si="9"/>
        <v>0</v>
      </c>
      <c r="M41" s="54">
        <f t="shared" si="10"/>
        <v>-512.68652885064148</v>
      </c>
      <c r="N41" s="54">
        <f t="shared" si="11"/>
        <v>-2.39682191274515E-2</v>
      </c>
      <c r="O41" s="8"/>
      <c r="P41" s="8"/>
      <c r="R41" s="11" t="s">
        <v>235</v>
      </c>
      <c r="S41" s="5">
        <f t="shared" si="6"/>
        <v>-512.68652885064148</v>
      </c>
      <c r="T41" s="5">
        <f t="shared" si="12"/>
        <v>21390.2637540328</v>
      </c>
      <c r="U41" s="5">
        <f t="shared" si="13"/>
        <v>20373.681669318492</v>
      </c>
    </row>
    <row r="42" spans="1:21" ht="16" x14ac:dyDescent="0.2">
      <c r="A42" s="54" t="s">
        <v>236</v>
      </c>
      <c r="B42" s="54">
        <f>CA!F80</f>
        <v>23500.057253982239</v>
      </c>
      <c r="C42" s="54">
        <f>'Coûts &amp; variables'!K54</f>
        <v>7017.1764018104623</v>
      </c>
      <c r="D42" s="54">
        <f>'Coûts &amp; variables'!N54</f>
        <v>16482.880852171776</v>
      </c>
      <c r="E42" s="54">
        <f>'Coûts &amp; variables'!$B$119+0.013*CA!F124</f>
        <v>2397.7118881599999</v>
      </c>
      <c r="F42" s="54">
        <f>'Coûts &amp; variables'!$B$102</f>
        <v>11620</v>
      </c>
      <c r="G42" s="54">
        <f t="shared" si="7"/>
        <v>2465.1689640117766</v>
      </c>
      <c r="H42" s="54">
        <f>'Coûts &amp; variables'!$G$134</f>
        <v>1254.3650793650793</v>
      </c>
      <c r="I42" s="54">
        <f t="shared" si="8"/>
        <v>1210.8038846466973</v>
      </c>
      <c r="J42" s="54">
        <f>'Coûts &amp; variables'!C148</f>
        <v>271.7192374129221</v>
      </c>
      <c r="K42" s="54">
        <f t="shared" si="14"/>
        <v>939.08464723377517</v>
      </c>
      <c r="L42" s="54">
        <f t="shared" si="9"/>
        <v>234.77116180844379</v>
      </c>
      <c r="M42" s="54">
        <f t="shared" si="10"/>
        <v>704.31348542533135</v>
      </c>
      <c r="N42" s="54">
        <f t="shared" si="11"/>
        <v>2.9970713595005426E-2</v>
      </c>
      <c r="O42" s="8"/>
      <c r="P42" s="8"/>
      <c r="R42" s="11" t="s">
        <v>236</v>
      </c>
      <c r="S42" s="5">
        <f t="shared" si="6"/>
        <v>704.31348542533135</v>
      </c>
      <c r="T42" s="5">
        <f t="shared" si="12"/>
        <v>23500.057253982239</v>
      </c>
      <c r="U42" s="5">
        <f t="shared" si="13"/>
        <v>21034.888289970462</v>
      </c>
    </row>
    <row r="43" spans="1:21" ht="16" x14ac:dyDescent="0.2">
      <c r="A43" s="54" t="s">
        <v>237</v>
      </c>
      <c r="B43" s="54">
        <f>CA!F81</f>
        <v>21097.273622221644</v>
      </c>
      <c r="C43" s="54">
        <f>'Coûts &amp; variables'!K55</f>
        <v>6299.699145596981</v>
      </c>
      <c r="D43" s="54">
        <f>'Coûts &amp; variables'!N55</f>
        <v>14797.574476624664</v>
      </c>
      <c r="E43" s="54">
        <f>'Coûts &amp; variables'!$B$119+0.013*CA!F125</f>
        <v>2362.1597861199998</v>
      </c>
      <c r="F43" s="54">
        <f>'Coûts &amp; variables'!$B$102</f>
        <v>11620</v>
      </c>
      <c r="G43" s="54">
        <f t="shared" si="7"/>
        <v>815.41469050466458</v>
      </c>
      <c r="H43" s="54">
        <f>'Coûts &amp; variables'!$G$134</f>
        <v>1254.3650793650793</v>
      </c>
      <c r="I43" s="54">
        <f t="shared" si="8"/>
        <v>-438.95038886041471</v>
      </c>
      <c r="J43" s="54">
        <f>'Coûts &amp; variables'!C149</f>
        <v>268.52432630335164</v>
      </c>
      <c r="K43" s="54">
        <f t="shared" si="14"/>
        <v>-707.4747151637664</v>
      </c>
      <c r="L43" s="54">
        <f t="shared" si="9"/>
        <v>0</v>
      </c>
      <c r="M43" s="54">
        <f t="shared" si="10"/>
        <v>-707.4747151637664</v>
      </c>
      <c r="N43" s="54">
        <f t="shared" si="11"/>
        <v>-3.3533940348509636E-2</v>
      </c>
      <c r="O43" s="8"/>
      <c r="P43" s="8"/>
      <c r="R43" s="11" t="s">
        <v>237</v>
      </c>
      <c r="S43" s="5">
        <f t="shared" si="6"/>
        <v>-707.4747151637664</v>
      </c>
      <c r="T43" s="5">
        <f t="shared" si="12"/>
        <v>21097.273622221644</v>
      </c>
      <c r="U43" s="5">
        <f t="shared" si="13"/>
        <v>20281.858931716979</v>
      </c>
    </row>
    <row r="44" spans="1:21" ht="16" x14ac:dyDescent="0.2">
      <c r="A44" s="54" t="s">
        <v>238</v>
      </c>
      <c r="B44" s="54">
        <f>CA!F82</f>
        <v>27861.178990241347</v>
      </c>
      <c r="C44" s="54">
        <f>'Coûts &amp; variables'!K56</f>
        <v>8319.418358174813</v>
      </c>
      <c r="D44" s="54">
        <f>'Coûts &amp; variables'!N56</f>
        <v>19541.760632066536</v>
      </c>
      <c r="E44" s="54">
        <f>'Coûts &amp; variables'!$B$119+0.013*CA!F126</f>
        <v>2462.2399808800001</v>
      </c>
      <c r="F44" s="54">
        <f>'Coûts &amp; variables'!$B$102</f>
        <v>11620</v>
      </c>
      <c r="G44" s="54">
        <f t="shared" si="7"/>
        <v>5459.5206511865363</v>
      </c>
      <c r="H44" s="54">
        <f>'Coûts &amp; variables'!$G$134</f>
        <v>1254.3650793650793</v>
      </c>
      <c r="I44" s="54">
        <f t="shared" si="8"/>
        <v>4205.1555718214568</v>
      </c>
      <c r="J44" s="54">
        <f>'Coûts &amp; variables'!C150</f>
        <v>265.31876549008263</v>
      </c>
      <c r="K44" s="54">
        <f t="shared" si="14"/>
        <v>3939.8368063313742</v>
      </c>
      <c r="L44" s="54">
        <f t="shared" si="9"/>
        <v>984.95920158284355</v>
      </c>
      <c r="M44" s="54">
        <f t="shared" si="10"/>
        <v>2954.8776047485308</v>
      </c>
      <c r="N44" s="54">
        <f t="shared" si="11"/>
        <v>0.10605716311515409</v>
      </c>
      <c r="O44" s="8"/>
      <c r="P44" s="8"/>
      <c r="R44" s="11" t="s">
        <v>238</v>
      </c>
      <c r="S44" s="5">
        <f t="shared" si="6"/>
        <v>2954.8776047485308</v>
      </c>
      <c r="T44" s="5">
        <f t="shared" si="12"/>
        <v>27861.178990241347</v>
      </c>
      <c r="U44" s="5">
        <f t="shared" si="13"/>
        <v>22401.658339054811</v>
      </c>
    </row>
    <row r="45" spans="1:21" ht="16" x14ac:dyDescent="0.2">
      <c r="A45" s="54" t="s">
        <v>239</v>
      </c>
      <c r="B45" s="54">
        <f>CA!F83</f>
        <v>22458.054339776059</v>
      </c>
      <c r="C45" s="54">
        <f>'Coûts &amp; variables'!K57</f>
        <v>6094.4096461394984</v>
      </c>
      <c r="D45" s="54">
        <f>'Coûts &amp; variables'!N57</f>
        <v>16363.644693636561</v>
      </c>
      <c r="E45" s="54">
        <f>'Coûts &amp; variables'!$C$119+0.013*CA!F127</f>
        <v>2767.6063800960001</v>
      </c>
      <c r="F45" s="54">
        <f>'Coûts &amp; variables'!$C$102</f>
        <v>20466.100000000002</v>
      </c>
      <c r="G45" s="54">
        <f t="shared" si="7"/>
        <v>-6870.0616864594413</v>
      </c>
      <c r="H45" s="54">
        <f>'Coûts &amp; variables'!$H$134</f>
        <v>851.57999999999993</v>
      </c>
      <c r="I45" s="54">
        <f t="shared" si="8"/>
        <v>-7721.6416864594412</v>
      </c>
      <c r="J45" s="54">
        <f>'Coûts &amp; variables'!C151</f>
        <v>262.10251947410273</v>
      </c>
      <c r="K45" s="54">
        <f t="shared" si="14"/>
        <v>-7983.7442059335435</v>
      </c>
      <c r="L45" s="54">
        <f t="shared" si="9"/>
        <v>0</v>
      </c>
      <c r="M45" s="54">
        <f t="shared" si="10"/>
        <v>-7983.7442059335435</v>
      </c>
      <c r="N45" s="54">
        <f t="shared" si="11"/>
        <v>-0.35549580943854614</v>
      </c>
      <c r="O45" s="8"/>
      <c r="P45" s="8"/>
      <c r="R45" s="11" t="s">
        <v>239</v>
      </c>
      <c r="S45" s="5">
        <f t="shared" si="6"/>
        <v>-7983.7442059335435</v>
      </c>
      <c r="T45" s="5">
        <f t="shared" si="12"/>
        <v>22458.054339776059</v>
      </c>
      <c r="U45" s="5">
        <f t="shared" si="13"/>
        <v>29328.116026235501</v>
      </c>
    </row>
    <row r="46" spans="1:21" ht="16" x14ac:dyDescent="0.2">
      <c r="A46" s="54" t="s">
        <v>240</v>
      </c>
      <c r="B46" s="54">
        <f>CA!F84</f>
        <v>24693.679082617044</v>
      </c>
      <c r="C46" s="54">
        <f>'Coûts &amp; variables'!K58</f>
        <v>6701.0878913598308</v>
      </c>
      <c r="D46" s="54">
        <f>'Coûts &amp; variables'!N58</f>
        <v>17992.591191257212</v>
      </c>
      <c r="E46" s="54">
        <f>'Coûts &amp; variables'!$C$119+0.013*CA!F128</f>
        <v>2799.7207740960002</v>
      </c>
      <c r="F46" s="54">
        <f>'Coûts &amp; variables'!$C$102</f>
        <v>20466.100000000002</v>
      </c>
      <c r="G46" s="54">
        <f t="shared" si="7"/>
        <v>-5273.2295828387905</v>
      </c>
      <c r="H46" s="54">
        <f>'Coûts &amp; variables'!$H$134</f>
        <v>851.57999999999993</v>
      </c>
      <c r="I46" s="54">
        <f t="shared" si="8"/>
        <v>-6124.8095828387904</v>
      </c>
      <c r="J46" s="54">
        <f>'Coûts &amp; variables'!C152</f>
        <v>258.87555263806956</v>
      </c>
      <c r="K46" s="54">
        <f t="shared" si="14"/>
        <v>-6383.6851354768596</v>
      </c>
      <c r="L46" s="54">
        <f t="shared" si="9"/>
        <v>0</v>
      </c>
      <c r="M46" s="54">
        <f t="shared" si="10"/>
        <v>-6383.6851354768596</v>
      </c>
      <c r="N46" s="54">
        <f t="shared" si="11"/>
        <v>-0.25851494684607829</v>
      </c>
      <c r="O46" s="8"/>
      <c r="P46" s="8"/>
      <c r="R46" s="11" t="s">
        <v>240</v>
      </c>
      <c r="S46" s="5">
        <f t="shared" si="6"/>
        <v>-6383.6851354768596</v>
      </c>
      <c r="T46" s="5">
        <f t="shared" si="12"/>
        <v>24693.679082617044</v>
      </c>
      <c r="U46" s="5">
        <f t="shared" si="13"/>
        <v>29966.908665455834</v>
      </c>
    </row>
    <row r="47" spans="1:21" ht="16" x14ac:dyDescent="0.2">
      <c r="A47" s="54" t="s">
        <v>241</v>
      </c>
      <c r="B47" s="54">
        <f>CA!F85</f>
        <v>28340.842893860994</v>
      </c>
      <c r="C47" s="54">
        <f>'Coûts &amp; variables'!K59</f>
        <v>7690.8134471008134</v>
      </c>
      <c r="D47" s="54">
        <f>'Coûts &amp; variables'!N59</f>
        <v>20650.029446760182</v>
      </c>
      <c r="E47" s="54">
        <f>'Coûts &amp; variables'!$C$119+0.013*CA!F129</f>
        <v>2852.1117024</v>
      </c>
      <c r="F47" s="54">
        <f>'Coûts &amp; variables'!$C$102</f>
        <v>20466.100000000002</v>
      </c>
      <c r="G47" s="54">
        <f t="shared" si="7"/>
        <v>-2668.1822556398206</v>
      </c>
      <c r="H47" s="54">
        <f>'Coûts &amp; variables'!$H$134</f>
        <v>851.57999999999993</v>
      </c>
      <c r="I47" s="54">
        <f t="shared" si="8"/>
        <v>-3519.7622556398205</v>
      </c>
      <c r="J47" s="54">
        <f>'Coûts &amp; variables'!C153</f>
        <v>255.63782924591629</v>
      </c>
      <c r="K47" s="54">
        <f t="shared" si="14"/>
        <v>-3775.4000848857368</v>
      </c>
      <c r="L47" s="54">
        <f t="shared" si="9"/>
        <v>0</v>
      </c>
      <c r="M47" s="54">
        <f t="shared" si="10"/>
        <v>-3775.4000848857368</v>
      </c>
      <c r="N47" s="54">
        <f t="shared" si="11"/>
        <v>-0.13321410725238306</v>
      </c>
      <c r="O47" s="8"/>
      <c r="P47" s="8"/>
      <c r="R47" s="11" t="s">
        <v>241</v>
      </c>
      <c r="S47" s="5">
        <f t="shared" si="6"/>
        <v>-3775.4000848857368</v>
      </c>
      <c r="T47" s="5">
        <f t="shared" si="12"/>
        <v>28340.842893860994</v>
      </c>
      <c r="U47" s="5">
        <f t="shared" si="13"/>
        <v>31009.025149500816</v>
      </c>
    </row>
    <row r="48" spans="1:21" ht="16" x14ac:dyDescent="0.2">
      <c r="A48" s="54" t="s">
        <v>242</v>
      </c>
      <c r="B48" s="54">
        <f>CA!F86</f>
        <v>30756.693385201768</v>
      </c>
      <c r="C48" s="54">
        <f>'Coûts &amp; variables'!K60</f>
        <v>8346.3992923973674</v>
      </c>
      <c r="D48" s="54">
        <f>'Coûts &amp; variables'!N60</f>
        <v>22410.294092804401</v>
      </c>
      <c r="E48" s="54">
        <f>'Coûts &amp; variables'!$C$119+0.013*CA!F130</f>
        <v>2886.815010624</v>
      </c>
      <c r="F48" s="54">
        <f>'Coûts &amp; variables'!$C$102</f>
        <v>20466.100000000002</v>
      </c>
      <c r="G48" s="54">
        <f t="shared" si="7"/>
        <v>-942.62091781960135</v>
      </c>
      <c r="H48" s="54">
        <f>'Coûts &amp; variables'!$H$134</f>
        <v>851.57999999999993</v>
      </c>
      <c r="I48" s="54">
        <f t="shared" si="8"/>
        <v>-1794.2009178196013</v>
      </c>
      <c r="J48" s="54">
        <f>'Coûts &amp; variables'!C154</f>
        <v>252.3893134424558</v>
      </c>
      <c r="K48" s="54">
        <f t="shared" si="14"/>
        <v>-2046.5902312620572</v>
      </c>
      <c r="L48" s="54">
        <f t="shared" si="9"/>
        <v>0</v>
      </c>
      <c r="M48" s="54">
        <f t="shared" si="10"/>
        <v>-2046.5902312620572</v>
      </c>
      <c r="N48" s="54">
        <f t="shared" si="11"/>
        <v>-6.6541295763827155E-2</v>
      </c>
      <c r="O48" s="8"/>
      <c r="P48" s="8"/>
      <c r="R48" s="11" t="s">
        <v>242</v>
      </c>
      <c r="S48" s="5">
        <f t="shared" si="6"/>
        <v>-2046.5902312620572</v>
      </c>
      <c r="T48" s="5">
        <f t="shared" si="12"/>
        <v>30756.693385201768</v>
      </c>
      <c r="U48" s="5">
        <f t="shared" si="13"/>
        <v>31699.314303021369</v>
      </c>
    </row>
    <row r="49" spans="1:21" ht="16" x14ac:dyDescent="0.2">
      <c r="A49" s="54" t="s">
        <v>243</v>
      </c>
      <c r="B49" s="54">
        <f>CA!F87</f>
        <v>33346.578664216009</v>
      </c>
      <c r="C49" s="54">
        <f>'Coûts &amp; variables'!K61</f>
        <v>9049.212705706459</v>
      </c>
      <c r="D49" s="54">
        <f>'Coûts &amp; variables'!N61</f>
        <v>24297.365958509552</v>
      </c>
      <c r="E49" s="54">
        <f>'Coûts &amp; variables'!$C$119+0.013*CA!F131</f>
        <v>2924.0183009040002</v>
      </c>
      <c r="F49" s="54">
        <f>'Coûts &amp; variables'!$C$102</f>
        <v>20466.100000000002</v>
      </c>
      <c r="G49" s="54">
        <f t="shared" si="7"/>
        <v>907.24765760554965</v>
      </c>
      <c r="H49" s="54">
        <f>'Coûts &amp; variables'!$H$134</f>
        <v>851.57999999999993</v>
      </c>
      <c r="I49" s="54">
        <f t="shared" si="8"/>
        <v>55.667657605549721</v>
      </c>
      <c r="J49" s="54">
        <f>'Coûts &amp; variables'!C155</f>
        <v>249.12996925298384</v>
      </c>
      <c r="K49" s="54">
        <f t="shared" si="14"/>
        <v>-193.46231164743412</v>
      </c>
      <c r="L49" s="54">
        <f t="shared" si="9"/>
        <v>0</v>
      </c>
      <c r="M49" s="54">
        <f t="shared" si="10"/>
        <v>-193.46231164743412</v>
      </c>
      <c r="N49" s="54">
        <f t="shared" si="11"/>
        <v>-5.8015640403624742E-3</v>
      </c>
      <c r="O49" s="8"/>
      <c r="P49" s="8"/>
      <c r="R49" s="11" t="s">
        <v>243</v>
      </c>
      <c r="S49" s="5">
        <f t="shared" si="6"/>
        <v>-193.46231164743412</v>
      </c>
      <c r="T49" s="5">
        <f t="shared" si="12"/>
        <v>33346.578664216009</v>
      </c>
      <c r="U49" s="5">
        <f t="shared" si="13"/>
        <v>32439.33100661046</v>
      </c>
    </row>
    <row r="50" spans="1:21" ht="16" x14ac:dyDescent="0.2">
      <c r="A50" s="54" t="s">
        <v>244</v>
      </c>
      <c r="B50" s="54">
        <f>CA!F88</f>
        <v>32911.147752764213</v>
      </c>
      <c r="C50" s="54">
        <f>'Coûts &amp; variables'!K62</f>
        <v>8931.0504505604695</v>
      </c>
      <c r="D50" s="54">
        <f>'Coûts &amp; variables'!N62</f>
        <v>23980.097302203743</v>
      </c>
      <c r="E50" s="54">
        <f>'Coûts &amp; variables'!$C$119+0.013*CA!F132</f>
        <v>2917.7634050880001</v>
      </c>
      <c r="F50" s="54">
        <f>'Coûts &amp; variables'!$C$102</f>
        <v>20466.100000000002</v>
      </c>
      <c r="G50" s="54">
        <f t="shared" si="7"/>
        <v>596.233897115741</v>
      </c>
      <c r="H50" s="54">
        <f>'Coûts &amp; variables'!$H$134</f>
        <v>851.57999999999993</v>
      </c>
      <c r="I50" s="54">
        <f t="shared" si="8"/>
        <v>-255.34610288425893</v>
      </c>
      <c r="J50" s="54">
        <f>'Coûts &amp; variables'!C156</f>
        <v>245.85976058288028</v>
      </c>
      <c r="K50" s="54">
        <f t="shared" si="14"/>
        <v>-501.20586346713924</v>
      </c>
      <c r="L50" s="54">
        <f t="shared" si="9"/>
        <v>0</v>
      </c>
      <c r="M50" s="54">
        <f t="shared" si="10"/>
        <v>-501.20586346713924</v>
      </c>
      <c r="N50" s="54">
        <f t="shared" si="11"/>
        <v>-1.5229060597713213E-2</v>
      </c>
      <c r="O50" s="8"/>
      <c r="P50" s="8"/>
      <c r="R50" s="11" t="s">
        <v>244</v>
      </c>
      <c r="S50" s="5">
        <f t="shared" si="6"/>
        <v>-501.20586346713924</v>
      </c>
      <c r="T50" s="5">
        <f t="shared" si="12"/>
        <v>32911.147752764213</v>
      </c>
      <c r="U50" s="5">
        <f t="shared" si="13"/>
        <v>32314.913855648472</v>
      </c>
    </row>
    <row r="51" spans="1:21" ht="16" x14ac:dyDescent="0.2">
      <c r="A51" s="54" t="s">
        <v>245</v>
      </c>
      <c r="B51" s="54">
        <f>CA!F89</f>
        <v>27663.964510182377</v>
      </c>
      <c r="C51" s="54">
        <f>'Coûts &amp; variables'!K63</f>
        <v>7507.1299414710265</v>
      </c>
      <c r="D51" s="54">
        <f>'Coûts &amp; variables'!N63</f>
        <v>20156.834568711351</v>
      </c>
      <c r="E51" s="54">
        <f>'Coûts &amp; variables'!$C$119+0.013*CA!F133</f>
        <v>2842.3884520319998</v>
      </c>
      <c r="F51" s="54">
        <f>'Coûts &amp; variables'!$C$102</f>
        <v>20466.100000000002</v>
      </c>
      <c r="G51" s="54">
        <f t="shared" si="7"/>
        <v>-3151.6538833206514</v>
      </c>
      <c r="H51" s="54">
        <f>'Coûts &amp; variables'!$H$134</f>
        <v>851.57999999999993</v>
      </c>
      <c r="I51" s="54">
        <f t="shared" si="8"/>
        <v>-4003.2338833206513</v>
      </c>
      <c r="J51" s="54">
        <f>'Coûts &amp; variables'!C157</f>
        <v>242.57865121720965</v>
      </c>
      <c r="K51" s="54">
        <f t="shared" si="14"/>
        <v>-4245.8125345378612</v>
      </c>
      <c r="L51" s="54">
        <f t="shared" si="9"/>
        <v>0</v>
      </c>
      <c r="M51" s="54">
        <f t="shared" si="10"/>
        <v>-4245.8125345378612</v>
      </c>
      <c r="N51" s="54">
        <f t="shared" si="11"/>
        <v>-0.15347809360350681</v>
      </c>
      <c r="O51" s="8"/>
      <c r="P51" s="8"/>
      <c r="R51" s="11" t="s">
        <v>245</v>
      </c>
      <c r="S51" s="5">
        <f t="shared" si="6"/>
        <v>-4245.8125345378612</v>
      </c>
      <c r="T51" s="5">
        <f t="shared" si="12"/>
        <v>27663.964510182377</v>
      </c>
      <c r="U51" s="5">
        <f t="shared" si="13"/>
        <v>30815.618393503028</v>
      </c>
    </row>
    <row r="52" spans="1:21" ht="16" x14ac:dyDescent="0.2">
      <c r="A52" s="54" t="s">
        <v>246</v>
      </c>
      <c r="B52" s="54">
        <f>CA!F90</f>
        <v>24947.508476496521</v>
      </c>
      <c r="C52" s="54">
        <f>'Coûts &amp; variables'!K64</f>
        <v>6769.9692059709996</v>
      </c>
      <c r="D52" s="54">
        <f>'Coûts &amp; variables'!N64</f>
        <v>18177.539270525522</v>
      </c>
      <c r="E52" s="54">
        <f>'Coûts &amp; variables'!$C$119+0.013*CA!F134</f>
        <v>2803.3669929839998</v>
      </c>
      <c r="F52" s="54">
        <f>'Coûts &amp; variables'!$C$102</f>
        <v>20466.100000000002</v>
      </c>
      <c r="G52" s="54">
        <f t="shared" si="7"/>
        <v>-5091.9277224584803</v>
      </c>
      <c r="H52" s="54">
        <f>'Coûts &amp; variables'!$H$134</f>
        <v>851.57999999999993</v>
      </c>
      <c r="I52" s="54">
        <f t="shared" si="8"/>
        <v>-5943.5077224584802</v>
      </c>
      <c r="J52" s="54">
        <f>'Coûts &amp; variables'!C158</f>
        <v>239.28660482032018</v>
      </c>
      <c r="K52" s="54">
        <f t="shared" si="14"/>
        <v>-6182.7943272788007</v>
      </c>
      <c r="L52" s="54">
        <f t="shared" si="9"/>
        <v>0</v>
      </c>
      <c r="M52" s="54">
        <f t="shared" si="10"/>
        <v>-6182.7943272788007</v>
      </c>
      <c r="N52" s="54">
        <f t="shared" si="11"/>
        <v>-0.24783213654797304</v>
      </c>
      <c r="O52" s="8"/>
      <c r="P52" s="8"/>
      <c r="R52" s="11" t="s">
        <v>246</v>
      </c>
      <c r="S52" s="5">
        <f t="shared" si="6"/>
        <v>-6182.7943272788007</v>
      </c>
      <c r="T52" s="5">
        <f t="shared" si="12"/>
        <v>24947.508476496521</v>
      </c>
      <c r="U52" s="5">
        <f t="shared" si="13"/>
        <v>30039.436198955002</v>
      </c>
    </row>
    <row r="53" spans="1:21" ht="16" x14ac:dyDescent="0.2">
      <c r="A53" s="54" t="s">
        <v>247</v>
      </c>
      <c r="B53" s="54">
        <f>CA!F91</f>
        <v>34434.124116041108</v>
      </c>
      <c r="C53" s="54">
        <f>'Coûts &amp; variables'!K65</f>
        <v>9344.3383382274878</v>
      </c>
      <c r="D53" s="54">
        <f>'Coûts &amp; variables'!N65</f>
        <v>25089.78577781362</v>
      </c>
      <c r="E53" s="54">
        <f>'Coûts &amp; variables'!$C$119+0.013*CA!F135</f>
        <v>2939.6407184159998</v>
      </c>
      <c r="F53" s="54">
        <f>'Coûts &amp; variables'!$C$102</f>
        <v>20466.100000000002</v>
      </c>
      <c r="G53" s="54">
        <f t="shared" si="7"/>
        <v>1684.0450593976184</v>
      </c>
      <c r="H53" s="54">
        <f>'Coûts &amp; variables'!$H$134</f>
        <v>851.57999999999993</v>
      </c>
      <c r="I53" s="54">
        <f t="shared" si="8"/>
        <v>832.46505939761846</v>
      </c>
      <c r="J53" s="54">
        <f>'Coûts &amp; variables'!C159</f>
        <v>235.98358493544106</v>
      </c>
      <c r="K53" s="54">
        <f t="shared" si="14"/>
        <v>596.4814744621774</v>
      </c>
      <c r="L53" s="54">
        <f t="shared" si="9"/>
        <v>149.12036861554435</v>
      </c>
      <c r="M53" s="54">
        <f t="shared" si="10"/>
        <v>447.36110584663305</v>
      </c>
      <c r="N53" s="54">
        <f t="shared" si="11"/>
        <v>1.2991795706464049E-2</v>
      </c>
      <c r="O53" s="8"/>
      <c r="P53" s="8"/>
      <c r="R53" s="11" t="s">
        <v>247</v>
      </c>
      <c r="S53" s="5">
        <f t="shared" si="6"/>
        <v>447.36110584663305</v>
      </c>
      <c r="T53" s="5">
        <f t="shared" si="12"/>
        <v>34434.124116041108</v>
      </c>
      <c r="U53" s="5">
        <f t="shared" si="13"/>
        <v>32750.079056643492</v>
      </c>
    </row>
    <row r="54" spans="1:21" ht="16" x14ac:dyDescent="0.2">
      <c r="A54" s="54" t="s">
        <v>248</v>
      </c>
      <c r="B54" s="54">
        <f>CA!F92</f>
        <v>37145.764957973151</v>
      </c>
      <c r="C54" s="54">
        <f>'Coûts &amp; variables'!K66</f>
        <v>10080.192382122425</v>
      </c>
      <c r="D54" s="54">
        <f>'Coûts &amp; variables'!N66</f>
        <v>27065.572575850725</v>
      </c>
      <c r="E54" s="54">
        <f>'Coûts &amp; variables'!$C$119+0.013*CA!F136</f>
        <v>2978.5930079999998</v>
      </c>
      <c r="F54" s="54">
        <f>'Coûts &amp; variables'!$C$102</f>
        <v>20466.100000000002</v>
      </c>
      <c r="G54" s="54">
        <f t="shared" si="7"/>
        <v>3620.8795678507231</v>
      </c>
      <c r="H54" s="54">
        <f>'Coûts &amp; variables'!$H$134</f>
        <v>851.57999999999993</v>
      </c>
      <c r="I54" s="54">
        <f t="shared" si="8"/>
        <v>2769.2995678507232</v>
      </c>
      <c r="J54" s="54">
        <f>'Coûts &amp; variables'!C160</f>
        <v>232.66955498427902</v>
      </c>
      <c r="K54" s="54">
        <f t="shared" si="14"/>
        <v>2536.6300128664443</v>
      </c>
      <c r="L54" s="54">
        <f t="shared" si="9"/>
        <v>634.15750321661108</v>
      </c>
      <c r="M54" s="54">
        <f t="shared" si="10"/>
        <v>1902.4725096498332</v>
      </c>
      <c r="N54" s="54">
        <f t="shared" si="11"/>
        <v>5.1216404125808079E-2</v>
      </c>
      <c r="O54" s="8"/>
      <c r="P54" s="8"/>
      <c r="R54" s="11" t="s">
        <v>248</v>
      </c>
      <c r="S54" s="5">
        <f t="shared" si="6"/>
        <v>1902.4725096498332</v>
      </c>
      <c r="T54" s="5">
        <f t="shared" si="12"/>
        <v>37145.764957973151</v>
      </c>
      <c r="U54" s="5">
        <f t="shared" si="13"/>
        <v>33524.885390122428</v>
      </c>
    </row>
    <row r="55" spans="1:21" ht="16" x14ac:dyDescent="0.2">
      <c r="A55" s="54" t="s">
        <v>249</v>
      </c>
      <c r="B55" s="54">
        <f>CA!F93</f>
        <v>32882.256602241338</v>
      </c>
      <c r="C55" s="54">
        <f>'Coûts &amp; variables'!K67</f>
        <v>8923.2103009299299</v>
      </c>
      <c r="D55" s="54">
        <f>'Coûts &amp; variables'!N67</f>
        <v>23959.046301311406</v>
      </c>
      <c r="E55" s="54">
        <f>'Coûts &amp; variables'!$C$119+0.013*CA!F137</f>
        <v>2917.3483883039999</v>
      </c>
      <c r="F55" s="54">
        <f>'Coûts &amp; variables'!$C$102</f>
        <v>20466.100000000002</v>
      </c>
      <c r="G55" s="54">
        <f t="shared" si="7"/>
        <v>575.5979130074038</v>
      </c>
      <c r="H55" s="54">
        <f>'Coûts &amp; variables'!$H$134</f>
        <v>851.57999999999993</v>
      </c>
      <c r="I55" s="54">
        <f t="shared" si="8"/>
        <v>-275.98208699259612</v>
      </c>
      <c r="J55" s="54">
        <f>'Coûts &amp; variables'!C161</f>
        <v>229.34447826661307</v>
      </c>
      <c r="K55" s="54">
        <f t="shared" si="14"/>
        <v>-505.32656525920919</v>
      </c>
      <c r="L55" s="54">
        <f t="shared" si="9"/>
        <v>0</v>
      </c>
      <c r="M55" s="54">
        <f t="shared" si="10"/>
        <v>-505.32656525920919</v>
      </c>
      <c r="N55" s="54">
        <f t="shared" si="11"/>
        <v>-1.5367758100420787E-2</v>
      </c>
      <c r="O55" s="8"/>
      <c r="P55" s="8"/>
      <c r="R55" s="11" t="s">
        <v>249</v>
      </c>
      <c r="S55" s="5">
        <f t="shared" si="6"/>
        <v>-505.32656525920919</v>
      </c>
      <c r="T55" s="5">
        <f t="shared" si="12"/>
        <v>32882.256602241338</v>
      </c>
      <c r="U55" s="5">
        <f t="shared" si="13"/>
        <v>32306.658689233933</v>
      </c>
    </row>
    <row r="56" spans="1:21" ht="16" x14ac:dyDescent="0.2">
      <c r="A56" s="54" t="s">
        <v>250</v>
      </c>
      <c r="B56" s="54">
        <f>CA!F94</f>
        <v>42939.128522344443</v>
      </c>
      <c r="C56" s="54">
        <f>'Coûts &amp; variables'!K68</f>
        <v>11652.329053274927</v>
      </c>
      <c r="D56" s="54">
        <f>'Coûts &amp; variables'!N68</f>
        <v>31286.799469069516</v>
      </c>
      <c r="E56" s="54">
        <f>'Coûts &amp; variables'!$C$119+0.013*CA!F138</f>
        <v>3061.8137545439999</v>
      </c>
      <c r="F56" s="54">
        <f>'Coûts &amp; variables'!$C$102</f>
        <v>20466.100000000002</v>
      </c>
      <c r="G56" s="54">
        <f t="shared" si="7"/>
        <v>7758.8857145255133</v>
      </c>
      <c r="H56" s="54">
        <f>'Coûts &amp; variables'!$H$134</f>
        <v>851.57999999999993</v>
      </c>
      <c r="I56" s="54">
        <f t="shared" si="8"/>
        <v>6907.3057145255134</v>
      </c>
      <c r="J56" s="54">
        <f>'Coûts &amp; variables'!C162</f>
        <v>226.00831795988825</v>
      </c>
      <c r="K56" s="54">
        <f t="shared" si="14"/>
        <v>6681.2973965656256</v>
      </c>
      <c r="L56" s="54">
        <f t="shared" si="9"/>
        <v>1670.3243491414064</v>
      </c>
      <c r="M56" s="54">
        <f t="shared" si="10"/>
        <v>5010.9730474242187</v>
      </c>
      <c r="N56" s="54">
        <f t="shared" si="11"/>
        <v>0.11669945850942537</v>
      </c>
      <c r="O56" s="8"/>
      <c r="P56" s="8"/>
      <c r="R56" s="11" t="s">
        <v>250</v>
      </c>
      <c r="S56" s="5">
        <f t="shared" si="6"/>
        <v>5010.9730474242187</v>
      </c>
      <c r="T56" s="5">
        <f t="shared" si="12"/>
        <v>42939.128522344443</v>
      </c>
      <c r="U56" s="5">
        <f t="shared" si="13"/>
        <v>35180.242807818926</v>
      </c>
    </row>
    <row r="57" spans="1:21" ht="16" x14ac:dyDescent="0.2">
      <c r="A57" s="54" t="s">
        <v>251</v>
      </c>
      <c r="B57" s="54">
        <f>CA!F95</f>
        <v>34293.412653499538</v>
      </c>
      <c r="C57" s="54">
        <f>'Coûts &amp; variables'!K69</f>
        <v>8875.2069242397174</v>
      </c>
      <c r="D57" s="54">
        <f>'Coûts &amp; variables'!N69</f>
        <v>25418.205729259818</v>
      </c>
      <c r="E57" s="54">
        <f>'Coûts &amp; variables'!$D$119+0.013*CA!F139</f>
        <v>3269.6032360320005</v>
      </c>
      <c r="F57" s="54">
        <f>'Coûts &amp; variables'!$D$102</f>
        <v>24421.918000000005</v>
      </c>
      <c r="G57" s="54">
        <f t="shared" si="7"/>
        <v>-2273.3155067721873</v>
      </c>
      <c r="H57" s="54">
        <f>'Coûts &amp; variables'!$I$134</f>
        <v>809.91000000000008</v>
      </c>
      <c r="I57" s="54">
        <f t="shared" si="8"/>
        <v>-3083.2255067721871</v>
      </c>
      <c r="J57" s="54">
        <f>'Coûts &amp; variables'!C163</f>
        <v>222.66103711880768</v>
      </c>
      <c r="K57" s="54">
        <f t="shared" si="14"/>
        <v>-3305.8865438909947</v>
      </c>
      <c r="L57" s="54">
        <f t="shared" si="9"/>
        <v>0</v>
      </c>
      <c r="M57" s="54">
        <f t="shared" si="10"/>
        <v>-3305.8865438909947</v>
      </c>
      <c r="N57" s="54">
        <f t="shared" si="11"/>
        <v>-9.6400045609156923E-2</v>
      </c>
      <c r="O57" s="8"/>
      <c r="P57" s="8"/>
      <c r="R57" s="11" t="s">
        <v>251</v>
      </c>
      <c r="S57" s="5">
        <f t="shared" si="6"/>
        <v>-3305.8865438909947</v>
      </c>
      <c r="T57" s="5">
        <f t="shared" si="12"/>
        <v>34293.412653499538</v>
      </c>
      <c r="U57" s="5">
        <f t="shared" si="13"/>
        <v>36566.728160271727</v>
      </c>
    </row>
    <row r="58" spans="1:21" ht="16" x14ac:dyDescent="0.2">
      <c r="A58" s="54" t="s">
        <v>252</v>
      </c>
      <c r="B58" s="54">
        <f>CA!F96</f>
        <v>37176.315688597228</v>
      </c>
      <c r="C58" s="54">
        <f>'Coûts &amp; variables'!K70</f>
        <v>9621.3082597216981</v>
      </c>
      <c r="D58" s="54">
        <f>'Coûts &amp; variables'!N70</f>
        <v>27555.007428875528</v>
      </c>
      <c r="E58" s="54">
        <f>'Coûts &amp; variables'!$D$119+0.013*CA!F140</f>
        <v>3309.8079750480001</v>
      </c>
      <c r="F58" s="54">
        <f>'Coûts &amp; variables'!$D$102</f>
        <v>24421.918000000005</v>
      </c>
      <c r="G58" s="54">
        <f t="shared" si="7"/>
        <v>-176.71854617247755</v>
      </c>
      <c r="H58" s="54">
        <f>'Coûts &amp; variables'!$I$134</f>
        <v>809.91000000000008</v>
      </c>
      <c r="I58" s="54">
        <f t="shared" si="8"/>
        <v>-986.62854617247763</v>
      </c>
      <c r="J58" s="54">
        <f>'Coûts &amp; variables'!C164</f>
        <v>219.3025986749235</v>
      </c>
      <c r="K58" s="54">
        <f t="shared" si="14"/>
        <v>-1205.9311448474011</v>
      </c>
      <c r="L58" s="54">
        <f t="shared" si="9"/>
        <v>0</v>
      </c>
      <c r="M58" s="54">
        <f t="shared" si="10"/>
        <v>-1205.9311448474011</v>
      </c>
      <c r="N58" s="54">
        <f t="shared" si="11"/>
        <v>-3.24381564582336E-2</v>
      </c>
      <c r="O58" s="8"/>
      <c r="P58" s="8"/>
      <c r="R58" s="11" t="s">
        <v>252</v>
      </c>
      <c r="S58" s="5">
        <f t="shared" si="6"/>
        <v>-1205.9311448474011</v>
      </c>
      <c r="T58" s="5">
        <f t="shared" si="12"/>
        <v>37176.315688597228</v>
      </c>
      <c r="U58" s="5">
        <f t="shared" si="13"/>
        <v>37353.034234769701</v>
      </c>
    </row>
    <row r="59" spans="1:21" ht="16" x14ac:dyDescent="0.2">
      <c r="A59" s="54" t="s">
        <v>253</v>
      </c>
      <c r="B59" s="54">
        <f>CA!F97</f>
        <v>42208.657257455809</v>
      </c>
      <c r="C59" s="54">
        <f>'Coûts &amp; variables'!K71</f>
        <v>10923.688783595146</v>
      </c>
      <c r="D59" s="54">
        <f>'Coûts &amp; variables'!N71</f>
        <v>31284.968473860663</v>
      </c>
      <c r="E59" s="54">
        <f>'Coûts &amp; variables'!$D$119+0.013*CA!F141</f>
        <v>3379.9886148240003</v>
      </c>
      <c r="F59" s="54">
        <f>'Coûts &amp; variables'!$D$102</f>
        <v>24421.918000000005</v>
      </c>
      <c r="G59" s="54">
        <f t="shared" si="7"/>
        <v>3483.0618590366576</v>
      </c>
      <c r="H59" s="54">
        <f>'Coûts &amp; variables'!$I$134</f>
        <v>809.91000000000008</v>
      </c>
      <c r="I59" s="54">
        <f t="shared" si="8"/>
        <v>2673.1518590366577</v>
      </c>
      <c r="J59" s="54">
        <f>'Coûts &amp; variables'!C165</f>
        <v>215.9329654362264</v>
      </c>
      <c r="K59" s="54">
        <f t="shared" si="14"/>
        <v>2457.2188936004313</v>
      </c>
      <c r="L59" s="54">
        <f t="shared" si="9"/>
        <v>614.30472340010783</v>
      </c>
      <c r="M59" s="54">
        <f t="shared" si="10"/>
        <v>1842.9141702003235</v>
      </c>
      <c r="N59" s="54">
        <f t="shared" si="11"/>
        <v>4.3661994717322787E-2</v>
      </c>
      <c r="O59" s="8"/>
      <c r="P59" s="8"/>
      <c r="R59" s="11" t="s">
        <v>253</v>
      </c>
      <c r="S59" s="5">
        <f t="shared" si="6"/>
        <v>1842.9141702003235</v>
      </c>
      <c r="T59" s="5">
        <f t="shared" si="12"/>
        <v>42208.657257455809</v>
      </c>
      <c r="U59" s="5">
        <f t="shared" si="13"/>
        <v>38725.595398419151</v>
      </c>
    </row>
    <row r="60" spans="1:21" ht="16" x14ac:dyDescent="0.2">
      <c r="A60" s="54" t="s">
        <v>254</v>
      </c>
      <c r="B60" s="54">
        <f>CA!F98</f>
        <v>45420.25573444413</v>
      </c>
      <c r="C60" s="54">
        <f>'Coûts &amp; variables'!K72</f>
        <v>11754.857186951347</v>
      </c>
      <c r="D60" s="54">
        <f>'Coûts &amp; variables'!N72</f>
        <v>33665.398547492783</v>
      </c>
      <c r="E60" s="54">
        <f>'Coûts &amp; variables'!$D$119+0.013*CA!F142</f>
        <v>3424.7773146240002</v>
      </c>
      <c r="F60" s="54">
        <f>'Coûts &amp; variables'!$D$102</f>
        <v>24421.918000000005</v>
      </c>
      <c r="G60" s="54">
        <f t="shared" si="7"/>
        <v>5818.7032328687783</v>
      </c>
      <c r="H60" s="54">
        <f>'Coûts &amp; variables'!$I$134</f>
        <v>809.91000000000008</v>
      </c>
      <c r="I60" s="54">
        <f t="shared" si="8"/>
        <v>5008.7932328687784</v>
      </c>
      <c r="J60" s="54">
        <f>'Coûts &amp; variables'!C166</f>
        <v>212.55210008673365</v>
      </c>
      <c r="K60" s="54">
        <f t="shared" si="14"/>
        <v>4796.2411327820446</v>
      </c>
      <c r="L60" s="54">
        <f t="shared" si="9"/>
        <v>1199.0602831955111</v>
      </c>
      <c r="M60" s="54">
        <f t="shared" si="10"/>
        <v>3597.1808495865334</v>
      </c>
      <c r="N60" s="54">
        <f t="shared" si="11"/>
        <v>7.9197723381787058E-2</v>
      </c>
      <c r="O60" s="8"/>
      <c r="P60" s="8"/>
      <c r="R60" s="11" t="s">
        <v>254</v>
      </c>
      <c r="S60" s="5">
        <f t="shared" si="6"/>
        <v>3597.1808495865334</v>
      </c>
      <c r="T60" s="5">
        <f t="shared" si="12"/>
        <v>45420.25573444413</v>
      </c>
      <c r="U60" s="5">
        <f t="shared" si="13"/>
        <v>39601.552501575352</v>
      </c>
    </row>
    <row r="61" spans="1:21" ht="16" x14ac:dyDescent="0.2">
      <c r="A61" s="54" t="s">
        <v>255</v>
      </c>
      <c r="B61" s="54">
        <f>CA!F99</f>
        <v>48658.408210013149</v>
      </c>
      <c r="C61" s="54">
        <f>'Coûts &amp; variables'!K73</f>
        <v>12592.897820681665</v>
      </c>
      <c r="D61" s="54">
        <f>'Coûts &amp; variables'!N73</f>
        <v>36065.510389331481</v>
      </c>
      <c r="E61" s="54">
        <f>'Coûts &amp; variables'!$D$119+0.013*CA!F143</f>
        <v>3469.9363344000003</v>
      </c>
      <c r="F61" s="54">
        <f>'Coûts &amp; variables'!$D$102</f>
        <v>24421.918000000005</v>
      </c>
      <c r="G61" s="54">
        <f t="shared" si="7"/>
        <v>8173.6560549314754</v>
      </c>
      <c r="H61" s="54">
        <f>'Coûts &amp; variables'!$I$134</f>
        <v>809.91000000000008</v>
      </c>
      <c r="I61" s="54">
        <f t="shared" si="8"/>
        <v>7363.7460549314756</v>
      </c>
      <c r="J61" s="54">
        <f>'Coûts &amp; variables'!C167</f>
        <v>209.15996518607591</v>
      </c>
      <c r="K61" s="54">
        <f t="shared" si="14"/>
        <v>7154.5860897453995</v>
      </c>
      <c r="L61" s="54">
        <f t="shared" si="9"/>
        <v>1788.6465224363499</v>
      </c>
      <c r="M61" s="54">
        <f t="shared" si="10"/>
        <v>5365.9395673090494</v>
      </c>
      <c r="N61" s="54">
        <f t="shared" si="11"/>
        <v>0.11027774571147647</v>
      </c>
      <c r="O61" s="8"/>
      <c r="P61" s="8"/>
      <c r="R61" s="11" t="s">
        <v>255</v>
      </c>
      <c r="S61" s="5">
        <f t="shared" si="6"/>
        <v>5365.9395673090494</v>
      </c>
      <c r="T61" s="5">
        <f t="shared" si="12"/>
        <v>48658.408210013149</v>
      </c>
      <c r="U61" s="5">
        <f t="shared" si="13"/>
        <v>40484.752155081675</v>
      </c>
    </row>
    <row r="62" spans="1:21" ht="16" x14ac:dyDescent="0.2">
      <c r="A62" s="54" t="s">
        <v>256</v>
      </c>
      <c r="B62" s="54">
        <f>CA!F100</f>
        <v>47590.506861687209</v>
      </c>
      <c r="C62" s="54">
        <f>'Coûts &amp; variables'!K74</f>
        <v>12316.522718068478</v>
      </c>
      <c r="D62" s="54">
        <f>'Coûts &amp; variables'!N74</f>
        <v>35273.984143618727</v>
      </c>
      <c r="E62" s="54">
        <f>'Coûts &amp; variables'!$D$119+0.013*CA!F144</f>
        <v>3455.0434661760005</v>
      </c>
      <c r="F62" s="54">
        <f>'Coûts &amp; variables'!$D$102</f>
        <v>24421.918000000005</v>
      </c>
      <c r="G62" s="54">
        <f t="shared" si="7"/>
        <v>7397.022677442721</v>
      </c>
      <c r="H62" s="54">
        <f>'Coûts &amp; variables'!$I$134</f>
        <v>809.91000000000008</v>
      </c>
      <c r="I62" s="54">
        <f t="shared" si="8"/>
        <v>6587.1126774427212</v>
      </c>
      <c r="J62" s="54">
        <f>'Coûts &amp; variables'!C168</f>
        <v>205.75652316908264</v>
      </c>
      <c r="K62" s="54">
        <f t="shared" si="14"/>
        <v>6381.3561542736388</v>
      </c>
      <c r="L62" s="54">
        <f t="shared" si="9"/>
        <v>1595.3390385684097</v>
      </c>
      <c r="M62" s="54">
        <f t="shared" si="10"/>
        <v>4786.0171157052291</v>
      </c>
      <c r="N62" s="54">
        <f t="shared" si="11"/>
        <v>0.10056663463608154</v>
      </c>
      <c r="O62" s="8"/>
      <c r="P62" s="8"/>
      <c r="R62" s="11" t="s">
        <v>256</v>
      </c>
      <c r="S62" s="5">
        <f t="shared" si="6"/>
        <v>4786.0171157052291</v>
      </c>
      <c r="T62" s="5">
        <f t="shared" si="12"/>
        <v>47590.506861687209</v>
      </c>
      <c r="U62" s="5">
        <f t="shared" si="13"/>
        <v>40193.484184244488</v>
      </c>
    </row>
    <row r="63" spans="1:21" ht="16" x14ac:dyDescent="0.2">
      <c r="A63" s="54" t="s">
        <v>257</v>
      </c>
      <c r="B63" s="54">
        <f>CA!F101</f>
        <v>39724.781876705725</v>
      </c>
      <c r="C63" s="54">
        <f>'Coûts &amp; variables'!K75</f>
        <v>10280.856639680998</v>
      </c>
      <c r="D63" s="54">
        <f>'Coûts &amp; variables'!N75</f>
        <v>29443.925237024727</v>
      </c>
      <c r="E63" s="54">
        <f>'Coûts &amp; variables'!$D$119+0.013*CA!F145</f>
        <v>3345.3486840960004</v>
      </c>
      <c r="F63" s="54">
        <f>'Coûts &amp; variables'!$D$102</f>
        <v>24421.918000000005</v>
      </c>
      <c r="G63" s="54">
        <f t="shared" si="7"/>
        <v>1676.6585529287213</v>
      </c>
      <c r="H63" s="54">
        <f>'Coûts &amp; variables'!$I$134</f>
        <v>809.91000000000008</v>
      </c>
      <c r="I63" s="54">
        <f t="shared" si="8"/>
        <v>866.74855292872121</v>
      </c>
      <c r="J63" s="54">
        <f>'Coûts &amp; variables'!C169</f>
        <v>202.34173634536606</v>
      </c>
      <c r="K63" s="54">
        <f t="shared" si="14"/>
        <v>664.40681658335518</v>
      </c>
      <c r="L63" s="54">
        <f t="shared" si="9"/>
        <v>166.1017041458388</v>
      </c>
      <c r="M63" s="54">
        <f t="shared" si="10"/>
        <v>498.30511243751641</v>
      </c>
      <c r="N63" s="54">
        <f t="shared" si="11"/>
        <v>1.2543935772488616E-2</v>
      </c>
      <c r="O63" s="8"/>
      <c r="P63" s="8"/>
      <c r="R63" s="11" t="s">
        <v>257</v>
      </c>
      <c r="S63" s="5">
        <f t="shared" si="6"/>
        <v>498.30511243751641</v>
      </c>
      <c r="T63" s="5">
        <f t="shared" si="12"/>
        <v>39724.781876705725</v>
      </c>
      <c r="U63" s="5">
        <f t="shared" si="13"/>
        <v>38048.123323777007</v>
      </c>
    </row>
    <row r="64" spans="1:21" ht="16" x14ac:dyDescent="0.2">
      <c r="A64" s="54" t="s">
        <v>258</v>
      </c>
      <c r="B64" s="54">
        <f>CA!F102</f>
        <v>35532.838479143975</v>
      </c>
      <c r="C64" s="54">
        <f>'Coûts &amp; variables'!K76</f>
        <v>9195.9729203505904</v>
      </c>
      <c r="D64" s="54">
        <f>'Coûts &amp; variables'!N76</f>
        <v>26336.865558793383</v>
      </c>
      <c r="E64" s="54">
        <f>'Coûts &amp; variables'!$D$119+0.013*CA!F146</f>
        <v>3286.8881711280001</v>
      </c>
      <c r="F64" s="54">
        <f>'Coûts &amp; variables'!$D$102</f>
        <v>24421.918000000005</v>
      </c>
      <c r="G64" s="54">
        <f t="shared" si="7"/>
        <v>-1371.9406123346225</v>
      </c>
      <c r="H64" s="54">
        <f>'Coûts &amp; variables'!$I$134</f>
        <v>809.91000000000008</v>
      </c>
      <c r="I64" s="54">
        <f t="shared" si="8"/>
        <v>-2181.8506123346224</v>
      </c>
      <c r="J64" s="54">
        <f>'Coûts &amp; variables'!C170</f>
        <v>198.91556689890373</v>
      </c>
      <c r="K64" s="54">
        <f t="shared" si="14"/>
        <v>-2380.7661792335261</v>
      </c>
      <c r="L64" s="54">
        <f t="shared" si="9"/>
        <v>0</v>
      </c>
      <c r="M64" s="54">
        <f t="shared" si="10"/>
        <v>-2380.7661792335261</v>
      </c>
      <c r="N64" s="54">
        <f t="shared" si="11"/>
        <v>-6.7001857468575676E-2</v>
      </c>
      <c r="O64" s="8"/>
      <c r="P64" s="8"/>
      <c r="R64" s="11" t="s">
        <v>258</v>
      </c>
      <c r="S64" s="5">
        <f t="shared" si="6"/>
        <v>-2380.7661792335261</v>
      </c>
      <c r="T64" s="5">
        <f t="shared" si="12"/>
        <v>35532.838479143975</v>
      </c>
      <c r="U64" s="5">
        <f t="shared" si="13"/>
        <v>36904.779091478595</v>
      </c>
    </row>
    <row r="65" spans="1:21" ht="16" x14ac:dyDescent="0.2">
      <c r="A65" s="54" t="s">
        <v>259</v>
      </c>
      <c r="B65" s="54">
        <f>CA!F103</f>
        <v>48565.828052799421</v>
      </c>
      <c r="C65" s="54">
        <f>'Coûts &amp; variables'!K77</f>
        <v>12568.937882350285</v>
      </c>
      <c r="D65" s="54">
        <f>'Coûts &amp; variables'!N77</f>
        <v>35996.890170449136</v>
      </c>
      <c r="E65" s="54">
        <f>'Coûts &amp; variables'!$D$119+0.013*CA!F147</f>
        <v>3468.6452188080002</v>
      </c>
      <c r="F65" s="54">
        <f>'Coûts &amp; variables'!$D$102</f>
        <v>24421.918000000005</v>
      </c>
      <c r="G65" s="54">
        <f t="shared" si="7"/>
        <v>8106.326951641131</v>
      </c>
      <c r="H65" s="54">
        <f>'Coûts &amp; variables'!$I$134</f>
        <v>809.91000000000008</v>
      </c>
      <c r="I65" s="54">
        <f t="shared" si="8"/>
        <v>7296.4169516411312</v>
      </c>
      <c r="J65" s="54">
        <f>'Coûts &amp; variables'!C171</f>
        <v>195.47797688761989</v>
      </c>
      <c r="K65" s="54">
        <f t="shared" si="14"/>
        <v>7100.9389747535115</v>
      </c>
      <c r="L65" s="54">
        <f t="shared" si="9"/>
        <v>1775.2347436883779</v>
      </c>
      <c r="M65" s="54">
        <f t="shared" si="10"/>
        <v>5325.7042310651341</v>
      </c>
      <c r="N65" s="54">
        <f t="shared" si="11"/>
        <v>0.10965949608179595</v>
      </c>
      <c r="O65" s="8"/>
      <c r="P65" s="8"/>
      <c r="R65" s="11" t="s">
        <v>259</v>
      </c>
      <c r="S65" s="5">
        <f t="shared" si="6"/>
        <v>5325.7042310651341</v>
      </c>
      <c r="T65" s="5">
        <f t="shared" si="12"/>
        <v>48565.828052799421</v>
      </c>
      <c r="U65" s="5">
        <f t="shared" si="13"/>
        <v>40459.50110115829</v>
      </c>
    </row>
    <row r="66" spans="1:21" ht="16" x14ac:dyDescent="0.2">
      <c r="A66" s="54" t="s">
        <v>260</v>
      </c>
      <c r="B66" s="54">
        <f>CA!F104</f>
        <v>52008.518085003445</v>
      </c>
      <c r="C66" s="54">
        <f>'Coûts &amp; variables'!K78</f>
        <v>13459.913263556919</v>
      </c>
      <c r="D66" s="54">
        <f>'Coûts &amp; variables'!N78</f>
        <v>38548.604821446526</v>
      </c>
      <c r="E66" s="54">
        <f>'Coûts &amp; variables'!$D$119+0.013*CA!F148</f>
        <v>3516.6567032640005</v>
      </c>
      <c r="F66" s="54">
        <f>'Coûts &amp; variables'!$D$102</f>
        <v>24421.918000000005</v>
      </c>
      <c r="G66" s="54">
        <f t="shared" si="7"/>
        <v>10610.03011818252</v>
      </c>
      <c r="H66" s="54">
        <f>'Coûts &amp; variables'!$I$134</f>
        <v>809.91000000000008</v>
      </c>
      <c r="I66" s="54">
        <f t="shared" si="8"/>
        <v>9800.1201181825199</v>
      </c>
      <c r="J66" s="54">
        <f>'Coûts &amp; variables'!C172</f>
        <v>192.02892824296512</v>
      </c>
      <c r="K66" s="54">
        <f t="shared" si="14"/>
        <v>9608.0911899395542</v>
      </c>
      <c r="L66" s="54">
        <f t="shared" si="9"/>
        <v>2402.0227974848885</v>
      </c>
      <c r="M66" s="54">
        <f t="shared" si="10"/>
        <v>7206.0683924546656</v>
      </c>
      <c r="N66" s="54">
        <f t="shared" si="11"/>
        <v>0.13855554162641143</v>
      </c>
      <c r="O66" s="8"/>
      <c r="P66" s="8"/>
      <c r="R66" s="11" t="s">
        <v>260</v>
      </c>
      <c r="S66" s="5">
        <f t="shared" si="6"/>
        <v>7206.0683924546656</v>
      </c>
      <c r="T66" s="5">
        <f t="shared" si="12"/>
        <v>52008.518085003445</v>
      </c>
      <c r="U66" s="5">
        <f t="shared" si="13"/>
        <v>41398.487966820925</v>
      </c>
    </row>
    <row r="67" spans="1:21" ht="16" x14ac:dyDescent="0.2">
      <c r="A67" s="54" t="s">
        <v>261</v>
      </c>
      <c r="B67" s="54">
        <f>CA!F105</f>
        <v>45786.270309475214</v>
      </c>
      <c r="C67" s="54">
        <f>'Coûts &amp; variables'!K79</f>
        <v>11849.582524540547</v>
      </c>
      <c r="D67" s="54">
        <f>'Coûts &amp; variables'!N79</f>
        <v>33936.687784934664</v>
      </c>
      <c r="E67" s="54">
        <f>'Coûts &amp; variables'!$D$119+0.013*CA!F149</f>
        <v>3429.8817251040005</v>
      </c>
      <c r="F67" s="54">
        <f>'Coûts &amp; variables'!$D$102</f>
        <v>24421.918000000005</v>
      </c>
      <c r="G67" s="54">
        <f t="shared" si="7"/>
        <v>6084.8880598306587</v>
      </c>
      <c r="H67" s="54">
        <f>'Coûts &amp; variables'!$I$134</f>
        <v>809.91000000000008</v>
      </c>
      <c r="I67" s="54">
        <f t="shared" si="8"/>
        <v>5274.9780598306588</v>
      </c>
      <c r="J67" s="54">
        <f>'Coûts &amp; variables'!C173</f>
        <v>188.5683827694948</v>
      </c>
      <c r="K67" s="54">
        <f t="shared" si="14"/>
        <v>5086.4096770611641</v>
      </c>
      <c r="L67" s="54">
        <f t="shared" si="9"/>
        <v>1271.602419265291</v>
      </c>
      <c r="M67" s="54">
        <f t="shared" si="10"/>
        <v>3814.8072577958728</v>
      </c>
      <c r="N67" s="54">
        <f t="shared" si="11"/>
        <v>8.3317711445180104E-2</v>
      </c>
      <c r="O67" s="8"/>
      <c r="P67" s="8"/>
      <c r="R67" s="11" t="s">
        <v>261</v>
      </c>
      <c r="S67" s="5">
        <f t="shared" si="6"/>
        <v>3814.8072577958728</v>
      </c>
      <c r="T67" s="5">
        <f t="shared" si="12"/>
        <v>45786.270309475214</v>
      </c>
      <c r="U67" s="5">
        <f t="shared" si="13"/>
        <v>39701.38224964455</v>
      </c>
    </row>
    <row r="68" spans="1:21" ht="16" x14ac:dyDescent="0.2">
      <c r="A68" s="54" t="s">
        <v>227</v>
      </c>
      <c r="B68" s="54">
        <f>CA!F106</f>
        <v>59280.007642287404</v>
      </c>
      <c r="C68" s="54">
        <f>'Coûts &amp; variables'!K80</f>
        <v>15341.789970328991</v>
      </c>
      <c r="D68" s="54">
        <f>'Coûts &amp; variables'!N80</f>
        <v>43938.217671958409</v>
      </c>
      <c r="E68" s="54">
        <f>'Coûts &amp; variables'!$D$119+0.013*CA!F150</f>
        <v>3618.0643248000006</v>
      </c>
      <c r="F68" s="54">
        <f>'Coûts &amp; variables'!$D$102</f>
        <v>24421.918000000005</v>
      </c>
      <c r="G68" s="54">
        <f t="shared" si="7"/>
        <v>15898.235347158403</v>
      </c>
      <c r="H68" s="54">
        <f>'Coûts &amp; variables'!$I$134</f>
        <v>809.91000000000008</v>
      </c>
      <c r="I68" s="54">
        <f t="shared" si="8"/>
        <v>15088.325347158403</v>
      </c>
      <c r="J68" s="54">
        <f>'Coûts &amp; variables'!C174</f>
        <v>185.09630214444624</v>
      </c>
      <c r="K68" s="54">
        <f t="shared" si="14"/>
        <v>14903.229045013957</v>
      </c>
      <c r="L68" s="54">
        <f t="shared" si="9"/>
        <v>3725.8072612534893</v>
      </c>
      <c r="M68" s="54">
        <f t="shared" si="10"/>
        <v>11177.421783760468</v>
      </c>
      <c r="N68" s="54">
        <f t="shared" si="11"/>
        <v>0.18855297474332733</v>
      </c>
      <c r="O68" s="8"/>
      <c r="P68" s="8"/>
      <c r="R68" s="11" t="s">
        <v>227</v>
      </c>
      <c r="S68" s="5">
        <f t="shared" si="6"/>
        <v>11177.421783760468</v>
      </c>
      <c r="T68" s="5">
        <f t="shared" si="12"/>
        <v>59280.007642287404</v>
      </c>
      <c r="U68" s="5">
        <f t="shared" si="13"/>
        <v>43381.772295128998</v>
      </c>
    </row>
    <row r="69" spans="1:2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1:2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</row>
    <row r="73" spans="1:21" ht="16" x14ac:dyDescent="0.2">
      <c r="A73" s="58"/>
      <c r="B73" s="61"/>
      <c r="C73" s="61"/>
      <c r="D73" s="61"/>
    </row>
    <row r="74" spans="1:21" ht="16" x14ac:dyDescent="0.2">
      <c r="A74" s="57" t="s">
        <v>4</v>
      </c>
      <c r="B74" s="54" t="s">
        <v>267</v>
      </c>
      <c r="C74" s="54" t="s">
        <v>200</v>
      </c>
      <c r="D74" s="54" t="s">
        <v>364</v>
      </c>
    </row>
    <row r="75" spans="1:21" ht="16" x14ac:dyDescent="0.2">
      <c r="A75" s="54" t="s">
        <v>226</v>
      </c>
      <c r="B75" s="54">
        <f>B33</f>
        <v>11640.239999721023</v>
      </c>
      <c r="C75" s="54">
        <f>K33</f>
        <v>-7232.1616073790592</v>
      </c>
      <c r="D75" s="54">
        <f>N33</f>
        <v>-0.62130691528287985</v>
      </c>
    </row>
    <row r="76" spans="1:21" ht="16" x14ac:dyDescent="0.2">
      <c r="A76" s="54" t="s">
        <v>228</v>
      </c>
      <c r="B76" s="54">
        <f t="shared" ref="B76:B110" si="15">B34</f>
        <v>13162.730481502716</v>
      </c>
      <c r="C76" s="54">
        <f t="shared" ref="C76:C110" si="16">K34</f>
        <v>-6183.7170795399416</v>
      </c>
      <c r="D76" s="54">
        <f t="shared" ref="D76:D110" si="17">N34</f>
        <v>-0.46978984248213373</v>
      </c>
    </row>
    <row r="77" spans="1:21" ht="16" x14ac:dyDescent="0.2">
      <c r="A77" s="54" t="s">
        <v>229</v>
      </c>
      <c r="B77" s="54">
        <f t="shared" si="15"/>
        <v>15599.905731444307</v>
      </c>
      <c r="C77" s="54">
        <f t="shared" si="16"/>
        <v>-4507.2385002189158</v>
      </c>
      <c r="D77" s="54">
        <f t="shared" si="17"/>
        <v>-0.28892729083187968</v>
      </c>
    </row>
    <row r="78" spans="1:21" ht="16" x14ac:dyDescent="0.2">
      <c r="A78" s="54" t="s">
        <v>230</v>
      </c>
      <c r="B78" s="54">
        <f t="shared" si="15"/>
        <v>17357.185145038551</v>
      </c>
      <c r="C78" s="54">
        <f t="shared" si="16"/>
        <v>-3297.5668901324993</v>
      </c>
      <c r="D78" s="54">
        <f t="shared" si="17"/>
        <v>-0.18998281475813428</v>
      </c>
    </row>
    <row r="79" spans="1:21" ht="16" x14ac:dyDescent="0.2">
      <c r="A79" s="54" t="s">
        <v>231</v>
      </c>
      <c r="B79" s="54">
        <f t="shared" si="15"/>
        <v>19207.057376812394</v>
      </c>
      <c r="C79" s="54">
        <f t="shared" si="16"/>
        <v>-2024.3105297552006</v>
      </c>
      <c r="D79" s="54">
        <f t="shared" si="17"/>
        <v>-0.1053941002018892</v>
      </c>
    </row>
    <row r="80" spans="1:21" ht="16" x14ac:dyDescent="0.2">
      <c r="A80" s="54" t="s">
        <v>232</v>
      </c>
      <c r="B80" s="54">
        <f t="shared" si="15"/>
        <v>19357.19001771789</v>
      </c>
      <c r="C80" s="54">
        <f t="shared" si="16"/>
        <v>-1918.0870781032213</v>
      </c>
      <c r="D80" s="54">
        <f t="shared" si="17"/>
        <v>-9.9089127933732687E-2</v>
      </c>
    </row>
    <row r="81" spans="1:4" ht="16" x14ac:dyDescent="0.2">
      <c r="A81" s="54" t="s">
        <v>233</v>
      </c>
      <c r="B81" s="54">
        <f t="shared" si="15"/>
        <v>16645.543199601059</v>
      </c>
      <c r="C81" s="54">
        <f t="shared" si="16"/>
        <v>-3776.7545401679349</v>
      </c>
      <c r="D81" s="54">
        <f t="shared" si="17"/>
        <v>-0.22689283821380199</v>
      </c>
    </row>
    <row r="82" spans="1:4" ht="16" x14ac:dyDescent="0.2">
      <c r="A82" s="54" t="s">
        <v>234</v>
      </c>
      <c r="B82" s="54">
        <f t="shared" si="15"/>
        <v>15277.814999633842</v>
      </c>
      <c r="C82" s="54">
        <f t="shared" si="16"/>
        <v>-4712.675274311152</v>
      </c>
      <c r="D82" s="54">
        <f t="shared" si="17"/>
        <v>-0.30846526642874644</v>
      </c>
    </row>
    <row r="83" spans="1:4" ht="16" x14ac:dyDescent="0.2">
      <c r="A83" s="54" t="s">
        <v>235</v>
      </c>
      <c r="B83" s="54">
        <f t="shared" si="15"/>
        <v>21390.2637540328</v>
      </c>
      <c r="C83" s="54">
        <f t="shared" si="16"/>
        <v>-512.68652885064148</v>
      </c>
      <c r="D83" s="54">
        <f t="shared" si="17"/>
        <v>-2.39682191274515E-2</v>
      </c>
    </row>
    <row r="84" spans="1:4" ht="16" x14ac:dyDescent="0.2">
      <c r="A84" s="54" t="s">
        <v>236</v>
      </c>
      <c r="B84" s="54">
        <f t="shared" si="15"/>
        <v>23500.057253982239</v>
      </c>
      <c r="C84" s="54">
        <f t="shared" si="16"/>
        <v>939.08464723377517</v>
      </c>
      <c r="D84" s="54">
        <f t="shared" si="17"/>
        <v>2.9970713595005426E-2</v>
      </c>
    </row>
    <row r="85" spans="1:4" ht="16" x14ac:dyDescent="0.2">
      <c r="A85" s="54" t="s">
        <v>237</v>
      </c>
      <c r="B85" s="54">
        <f t="shared" si="15"/>
        <v>21097.273622221644</v>
      </c>
      <c r="C85" s="54">
        <f t="shared" si="16"/>
        <v>-707.4747151637664</v>
      </c>
      <c r="D85" s="54">
        <f t="shared" si="17"/>
        <v>-3.3533940348509636E-2</v>
      </c>
    </row>
    <row r="86" spans="1:4" ht="16" x14ac:dyDescent="0.2">
      <c r="A86" s="54" t="s">
        <v>238</v>
      </c>
      <c r="B86" s="54">
        <f t="shared" si="15"/>
        <v>27861.178990241347</v>
      </c>
      <c r="C86" s="54">
        <f t="shared" si="16"/>
        <v>3939.8368063313742</v>
      </c>
      <c r="D86" s="54">
        <f t="shared" si="17"/>
        <v>0.10605716311515409</v>
      </c>
    </row>
    <row r="87" spans="1:4" ht="16" x14ac:dyDescent="0.2">
      <c r="A87" s="54" t="s">
        <v>239</v>
      </c>
      <c r="B87" s="54">
        <f t="shared" si="15"/>
        <v>22458.054339776059</v>
      </c>
      <c r="C87" s="54">
        <f t="shared" si="16"/>
        <v>-7983.7442059335435</v>
      </c>
      <c r="D87" s="54">
        <f t="shared" si="17"/>
        <v>-0.35549580943854614</v>
      </c>
    </row>
    <row r="88" spans="1:4" ht="16" x14ac:dyDescent="0.2">
      <c r="A88" s="54" t="s">
        <v>240</v>
      </c>
      <c r="B88" s="54">
        <f t="shared" si="15"/>
        <v>24693.679082617044</v>
      </c>
      <c r="C88" s="54">
        <f t="shared" si="16"/>
        <v>-6383.6851354768596</v>
      </c>
      <c r="D88" s="54">
        <f t="shared" si="17"/>
        <v>-0.25851494684607829</v>
      </c>
    </row>
    <row r="89" spans="1:4" ht="16" x14ac:dyDescent="0.2">
      <c r="A89" s="54" t="s">
        <v>241</v>
      </c>
      <c r="B89" s="54">
        <f t="shared" si="15"/>
        <v>28340.842893860994</v>
      </c>
      <c r="C89" s="54">
        <f t="shared" si="16"/>
        <v>-3775.4000848857368</v>
      </c>
      <c r="D89" s="54">
        <f t="shared" si="17"/>
        <v>-0.13321410725238306</v>
      </c>
    </row>
    <row r="90" spans="1:4" ht="16" x14ac:dyDescent="0.2">
      <c r="A90" s="54" t="s">
        <v>242</v>
      </c>
      <c r="B90" s="54">
        <f t="shared" si="15"/>
        <v>30756.693385201768</v>
      </c>
      <c r="C90" s="54">
        <f t="shared" si="16"/>
        <v>-2046.5902312620572</v>
      </c>
      <c r="D90" s="54">
        <f t="shared" si="17"/>
        <v>-6.6541295763827155E-2</v>
      </c>
    </row>
    <row r="91" spans="1:4" ht="16" x14ac:dyDescent="0.2">
      <c r="A91" s="54" t="s">
        <v>243</v>
      </c>
      <c r="B91" s="54">
        <f t="shared" si="15"/>
        <v>33346.578664216009</v>
      </c>
      <c r="C91" s="54">
        <f t="shared" si="16"/>
        <v>-193.46231164743412</v>
      </c>
      <c r="D91" s="54">
        <f t="shared" si="17"/>
        <v>-5.8015640403624742E-3</v>
      </c>
    </row>
    <row r="92" spans="1:4" ht="16" x14ac:dyDescent="0.2">
      <c r="A92" s="54" t="s">
        <v>244</v>
      </c>
      <c r="B92" s="54">
        <f t="shared" si="15"/>
        <v>32911.147752764213</v>
      </c>
      <c r="C92" s="54">
        <f t="shared" si="16"/>
        <v>-501.20586346713924</v>
      </c>
      <c r="D92" s="54">
        <f t="shared" si="17"/>
        <v>-1.5229060597713213E-2</v>
      </c>
    </row>
    <row r="93" spans="1:4" ht="16" x14ac:dyDescent="0.2">
      <c r="A93" s="54" t="s">
        <v>245</v>
      </c>
      <c r="B93" s="54">
        <f t="shared" si="15"/>
        <v>27663.964510182377</v>
      </c>
      <c r="C93" s="54">
        <f t="shared" si="16"/>
        <v>-4245.8125345378612</v>
      </c>
      <c r="D93" s="54">
        <f t="shared" si="17"/>
        <v>-0.15347809360350681</v>
      </c>
    </row>
    <row r="94" spans="1:4" ht="16" x14ac:dyDescent="0.2">
      <c r="A94" s="54" t="s">
        <v>246</v>
      </c>
      <c r="B94" s="54">
        <f t="shared" si="15"/>
        <v>24947.508476496521</v>
      </c>
      <c r="C94" s="54">
        <f t="shared" si="16"/>
        <v>-6182.7943272788007</v>
      </c>
      <c r="D94" s="54">
        <f t="shared" si="17"/>
        <v>-0.24783213654797304</v>
      </c>
    </row>
    <row r="95" spans="1:4" ht="16" x14ac:dyDescent="0.2">
      <c r="A95" s="54" t="s">
        <v>247</v>
      </c>
      <c r="B95" s="54">
        <f t="shared" si="15"/>
        <v>34434.124116041108</v>
      </c>
      <c r="C95" s="54">
        <f t="shared" si="16"/>
        <v>596.4814744621774</v>
      </c>
      <c r="D95" s="54">
        <f t="shared" si="17"/>
        <v>1.2991795706464049E-2</v>
      </c>
    </row>
    <row r="96" spans="1:4" ht="16" x14ac:dyDescent="0.2">
      <c r="A96" s="54" t="s">
        <v>248</v>
      </c>
      <c r="B96" s="54">
        <f t="shared" si="15"/>
        <v>37145.764957973151</v>
      </c>
      <c r="C96" s="54">
        <f t="shared" si="16"/>
        <v>2536.6300128664443</v>
      </c>
      <c r="D96" s="54">
        <f t="shared" si="17"/>
        <v>5.1216404125808079E-2</v>
      </c>
    </row>
    <row r="97" spans="1:4" ht="16" x14ac:dyDescent="0.2">
      <c r="A97" s="54" t="s">
        <v>249</v>
      </c>
      <c r="B97" s="54">
        <f t="shared" si="15"/>
        <v>32882.256602241338</v>
      </c>
      <c r="C97" s="54">
        <f t="shared" si="16"/>
        <v>-505.32656525920919</v>
      </c>
      <c r="D97" s="54">
        <f t="shared" si="17"/>
        <v>-1.5367758100420787E-2</v>
      </c>
    </row>
    <row r="98" spans="1:4" ht="16" x14ac:dyDescent="0.2">
      <c r="A98" s="54" t="s">
        <v>250</v>
      </c>
      <c r="B98" s="54">
        <f t="shared" si="15"/>
        <v>42939.128522344443</v>
      </c>
      <c r="C98" s="54">
        <f t="shared" si="16"/>
        <v>6681.2973965656256</v>
      </c>
      <c r="D98" s="54">
        <f t="shared" si="17"/>
        <v>0.11669945850942537</v>
      </c>
    </row>
    <row r="99" spans="1:4" ht="16" x14ac:dyDescent="0.2">
      <c r="A99" s="54" t="s">
        <v>251</v>
      </c>
      <c r="B99" s="54">
        <f t="shared" si="15"/>
        <v>34293.412653499538</v>
      </c>
      <c r="C99" s="54">
        <f t="shared" si="16"/>
        <v>-3305.8865438909947</v>
      </c>
      <c r="D99" s="54">
        <f t="shared" si="17"/>
        <v>-9.6400045609156923E-2</v>
      </c>
    </row>
    <row r="100" spans="1:4" ht="16" x14ac:dyDescent="0.2">
      <c r="A100" s="54" t="s">
        <v>252</v>
      </c>
      <c r="B100" s="54">
        <f t="shared" si="15"/>
        <v>37176.315688597228</v>
      </c>
      <c r="C100" s="54">
        <f t="shared" si="16"/>
        <v>-1205.9311448474011</v>
      </c>
      <c r="D100" s="54">
        <f t="shared" si="17"/>
        <v>-3.24381564582336E-2</v>
      </c>
    </row>
    <row r="101" spans="1:4" ht="16" x14ac:dyDescent="0.2">
      <c r="A101" s="54" t="s">
        <v>253</v>
      </c>
      <c r="B101" s="54">
        <f t="shared" si="15"/>
        <v>42208.657257455809</v>
      </c>
      <c r="C101" s="54">
        <f t="shared" si="16"/>
        <v>2457.2188936004313</v>
      </c>
      <c r="D101" s="54">
        <f t="shared" si="17"/>
        <v>4.3661994717322787E-2</v>
      </c>
    </row>
    <row r="102" spans="1:4" ht="16" x14ac:dyDescent="0.2">
      <c r="A102" s="54" t="s">
        <v>254</v>
      </c>
      <c r="B102" s="54">
        <f t="shared" si="15"/>
        <v>45420.25573444413</v>
      </c>
      <c r="C102" s="54">
        <f t="shared" si="16"/>
        <v>4796.2411327820446</v>
      </c>
      <c r="D102" s="54">
        <f t="shared" si="17"/>
        <v>7.9197723381787058E-2</v>
      </c>
    </row>
    <row r="103" spans="1:4" ht="16" x14ac:dyDescent="0.2">
      <c r="A103" s="54" t="s">
        <v>255</v>
      </c>
      <c r="B103" s="54">
        <f t="shared" si="15"/>
        <v>48658.408210013149</v>
      </c>
      <c r="C103" s="54">
        <f t="shared" si="16"/>
        <v>7154.5860897453995</v>
      </c>
      <c r="D103" s="54">
        <f t="shared" si="17"/>
        <v>0.11027774571147647</v>
      </c>
    </row>
    <row r="104" spans="1:4" ht="16" x14ac:dyDescent="0.2">
      <c r="A104" s="54" t="s">
        <v>256</v>
      </c>
      <c r="B104" s="54">
        <f t="shared" si="15"/>
        <v>47590.506861687209</v>
      </c>
      <c r="C104" s="54">
        <f t="shared" si="16"/>
        <v>6381.3561542736388</v>
      </c>
      <c r="D104" s="54">
        <f t="shared" si="17"/>
        <v>0.10056663463608154</v>
      </c>
    </row>
    <row r="105" spans="1:4" ht="16" x14ac:dyDescent="0.2">
      <c r="A105" s="54" t="s">
        <v>257</v>
      </c>
      <c r="B105" s="54">
        <f t="shared" si="15"/>
        <v>39724.781876705725</v>
      </c>
      <c r="C105" s="54">
        <f t="shared" si="16"/>
        <v>664.40681658335518</v>
      </c>
      <c r="D105" s="54">
        <f t="shared" si="17"/>
        <v>1.2543935772488616E-2</v>
      </c>
    </row>
    <row r="106" spans="1:4" ht="16" x14ac:dyDescent="0.2">
      <c r="A106" s="54" t="s">
        <v>258</v>
      </c>
      <c r="B106" s="54">
        <f t="shared" si="15"/>
        <v>35532.838479143975</v>
      </c>
      <c r="C106" s="54">
        <f t="shared" si="16"/>
        <v>-2380.7661792335261</v>
      </c>
      <c r="D106" s="54">
        <f t="shared" si="17"/>
        <v>-6.7001857468575676E-2</v>
      </c>
    </row>
    <row r="107" spans="1:4" ht="16" x14ac:dyDescent="0.2">
      <c r="A107" s="54" t="s">
        <v>259</v>
      </c>
      <c r="B107" s="54">
        <f t="shared" si="15"/>
        <v>48565.828052799421</v>
      </c>
      <c r="C107" s="54">
        <f t="shared" si="16"/>
        <v>7100.9389747535115</v>
      </c>
      <c r="D107" s="54">
        <f t="shared" si="17"/>
        <v>0.10965949608179595</v>
      </c>
    </row>
    <row r="108" spans="1:4" ht="16" x14ac:dyDescent="0.2">
      <c r="A108" s="54" t="s">
        <v>260</v>
      </c>
      <c r="B108" s="54">
        <f t="shared" si="15"/>
        <v>52008.518085003445</v>
      </c>
      <c r="C108" s="54">
        <f t="shared" si="16"/>
        <v>9608.0911899395542</v>
      </c>
      <c r="D108" s="54">
        <f t="shared" si="17"/>
        <v>0.13855554162641143</v>
      </c>
    </row>
    <row r="109" spans="1:4" ht="16" x14ac:dyDescent="0.2">
      <c r="A109" s="54" t="s">
        <v>261</v>
      </c>
      <c r="B109" s="54">
        <f t="shared" si="15"/>
        <v>45786.270309475214</v>
      </c>
      <c r="C109" s="54">
        <f t="shared" si="16"/>
        <v>5086.4096770611641</v>
      </c>
      <c r="D109" s="54">
        <f t="shared" si="17"/>
        <v>8.3317711445180104E-2</v>
      </c>
    </row>
    <row r="110" spans="1:4" ht="16" x14ac:dyDescent="0.2">
      <c r="A110" s="54" t="s">
        <v>227</v>
      </c>
      <c r="B110" s="54">
        <f t="shared" si="15"/>
        <v>59280.007642287404</v>
      </c>
      <c r="C110" s="54">
        <f t="shared" si="16"/>
        <v>14903.229045013957</v>
      </c>
      <c r="D110" s="54">
        <f t="shared" si="17"/>
        <v>0.18855297474332733</v>
      </c>
    </row>
  </sheetData>
  <mergeCells count="2">
    <mergeCell ref="A13:N13"/>
    <mergeCell ref="A31:N31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EF782-5F84-C54A-B158-780F283A8D8B}">
  <dimension ref="A1:V113"/>
  <sheetViews>
    <sheetView topLeftCell="A22" zoomScale="52" zoomScaleNormal="67" workbookViewId="0">
      <selection activeCell="G20" sqref="G20:P22"/>
    </sheetView>
  </sheetViews>
  <sheetFormatPr baseColWidth="10" defaultRowHeight="15" x14ac:dyDescent="0.2"/>
  <cols>
    <col min="1" max="18" width="19.83203125" customWidth="1"/>
  </cols>
  <sheetData>
    <row r="1" spans="1:20" x14ac:dyDescent="0.2"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20" x14ac:dyDescent="0.2"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0" x14ac:dyDescent="0.2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20" ht="19" x14ac:dyDescent="0.25">
      <c r="A4" s="2"/>
      <c r="B4" s="2"/>
      <c r="C4" s="12"/>
      <c r="D4" s="12"/>
      <c r="E4" s="12"/>
      <c r="F4" s="127" t="s">
        <v>215</v>
      </c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8"/>
    </row>
    <row r="5" spans="1:20" ht="16" x14ac:dyDescent="0.2">
      <c r="A5" s="7"/>
      <c r="B5" s="7"/>
      <c r="C5" s="35"/>
      <c r="D5" s="35"/>
      <c r="E5" s="35"/>
      <c r="F5" s="72" t="s">
        <v>0</v>
      </c>
      <c r="G5" s="72" t="s">
        <v>132</v>
      </c>
      <c r="H5" s="72" t="s">
        <v>204</v>
      </c>
      <c r="I5" s="72" t="s">
        <v>205</v>
      </c>
      <c r="J5" s="72" t="s">
        <v>206</v>
      </c>
      <c r="K5" s="72" t="s">
        <v>207</v>
      </c>
      <c r="L5" s="72" t="s">
        <v>208</v>
      </c>
      <c r="M5" s="72" t="s">
        <v>209</v>
      </c>
      <c r="N5" s="72" t="s">
        <v>210</v>
      </c>
      <c r="O5" s="72" t="s">
        <v>211</v>
      </c>
      <c r="P5" s="72" t="s">
        <v>214</v>
      </c>
      <c r="Q5" s="72" t="s">
        <v>212</v>
      </c>
      <c r="R5" s="73" t="s">
        <v>213</v>
      </c>
      <c r="S5" s="36"/>
      <c r="T5" s="7"/>
    </row>
    <row r="6" spans="1:20" ht="16" x14ac:dyDescent="0.2">
      <c r="A6" s="7"/>
      <c r="B6" s="7"/>
      <c r="C6" s="35"/>
      <c r="D6" s="35"/>
      <c r="E6" s="35"/>
      <c r="F6" s="72" t="s">
        <v>203</v>
      </c>
      <c r="G6" s="72">
        <v>0</v>
      </c>
      <c r="H6" s="19">
        <v>0</v>
      </c>
      <c r="I6" s="19">
        <v>0</v>
      </c>
      <c r="J6" s="19">
        <v>0</v>
      </c>
      <c r="K6" s="19">
        <v>0</v>
      </c>
      <c r="L6" s="19">
        <f>L29</f>
        <v>-135500</v>
      </c>
      <c r="M6" s="19">
        <f t="shared" ref="M6:P6" si="0">M29</f>
        <v>55000</v>
      </c>
      <c r="N6" s="19">
        <f t="shared" si="0"/>
        <v>110000</v>
      </c>
      <c r="O6" s="19">
        <f t="shared" si="0"/>
        <v>90000</v>
      </c>
      <c r="P6" s="19">
        <f t="shared" si="0"/>
        <v>20000</v>
      </c>
      <c r="Q6" s="19">
        <f>G6-H6-I6-J6-K6+L6+M6+N6+O6+P6</f>
        <v>139500</v>
      </c>
      <c r="R6" s="19">
        <f>Q6</f>
        <v>139500</v>
      </c>
      <c r="S6" s="35"/>
      <c r="T6" s="7"/>
    </row>
    <row r="7" spans="1:20" ht="16" x14ac:dyDescent="0.2">
      <c r="A7" s="7"/>
      <c r="B7" s="7"/>
      <c r="C7" s="35"/>
      <c r="D7" s="35"/>
      <c r="E7" s="35"/>
      <c r="F7" s="72" t="s">
        <v>149</v>
      </c>
      <c r="G7" s="72">
        <f>SUM(G30:G32)</f>
        <v>-13269.334210218522</v>
      </c>
      <c r="H7" s="72">
        <f t="shared" ref="H7:K7" si="1">SUM(H30:H32)</f>
        <v>3981.2522638569681</v>
      </c>
      <c r="I7" s="72">
        <f t="shared" si="1"/>
        <v>0</v>
      </c>
      <c r="J7" s="72">
        <f t="shared" si="1"/>
        <v>890.68773882415644</v>
      </c>
      <c r="K7" s="72">
        <f t="shared" si="1"/>
        <v>2799.8899720280142</v>
      </c>
      <c r="L7" s="72">
        <f t="shared" ref="L7:P7" si="2">SUM(L30:L32)</f>
        <v>0</v>
      </c>
      <c r="M7" s="72">
        <f t="shared" si="2"/>
        <v>0</v>
      </c>
      <c r="N7" s="72">
        <f t="shared" si="2"/>
        <v>0</v>
      </c>
      <c r="O7" s="72">
        <f t="shared" si="2"/>
        <v>0</v>
      </c>
      <c r="P7" s="72">
        <f t="shared" si="2"/>
        <v>0</v>
      </c>
      <c r="Q7" s="19">
        <f>G7-H7-I7-J7-K7+L7+M7+N7+O7+P7</f>
        <v>-20941.16418492766</v>
      </c>
      <c r="R7" s="19">
        <f>R6+Q7</f>
        <v>118558.83581507234</v>
      </c>
      <c r="S7" s="35"/>
      <c r="T7" s="7"/>
    </row>
    <row r="8" spans="1:20" ht="16" x14ac:dyDescent="0.2">
      <c r="A8" s="7"/>
      <c r="B8" s="7"/>
      <c r="C8" s="35"/>
      <c r="D8" s="35"/>
      <c r="E8" s="35"/>
      <c r="F8" s="72" t="s">
        <v>150</v>
      </c>
      <c r="G8" s="72">
        <f>SUM(G33:G35)</f>
        <v>-2614.2738541571703</v>
      </c>
      <c r="H8" s="72">
        <f t="shared" ref="H8:K8" si="3">SUM(H33:H35)</f>
        <v>5510.4326910883819</v>
      </c>
      <c r="I8" s="72">
        <f t="shared" si="3"/>
        <v>0</v>
      </c>
      <c r="J8" s="72">
        <f t="shared" si="3"/>
        <v>862.59540573851348</v>
      </c>
      <c r="K8" s="72">
        <f t="shared" si="3"/>
        <v>2827.9823051136573</v>
      </c>
      <c r="L8" s="72">
        <f t="shared" ref="L8:P8" si="4">SUM(L33:L35)</f>
        <v>0</v>
      </c>
      <c r="M8" s="72">
        <f t="shared" si="4"/>
        <v>0</v>
      </c>
      <c r="N8" s="72">
        <f t="shared" si="4"/>
        <v>0</v>
      </c>
      <c r="O8" s="72">
        <f t="shared" si="4"/>
        <v>0</v>
      </c>
      <c r="P8" s="72">
        <f t="shared" si="4"/>
        <v>0</v>
      </c>
      <c r="Q8" s="19">
        <f t="shared" ref="Q8:Q18" si="5">G8-H8-I8-J8-K8+L8+M8+N8+O8+P8</f>
        <v>-11815.284256097722</v>
      </c>
      <c r="R8" s="19">
        <f t="shared" ref="R8:R18" si="6">R7+Q8</f>
        <v>106743.55155897461</v>
      </c>
      <c r="S8" s="35"/>
      <c r="T8" s="7"/>
    </row>
    <row r="9" spans="1:20" ht="16" x14ac:dyDescent="0.2">
      <c r="A9" s="7"/>
      <c r="B9" s="7"/>
      <c r="C9" s="35"/>
      <c r="D9" s="35"/>
      <c r="E9" s="35"/>
      <c r="F9" s="72" t="s">
        <v>151</v>
      </c>
      <c r="G9" s="72">
        <f>SUM(G36:G38)</f>
        <v>-4404.7998933640356</v>
      </c>
      <c r="H9" s="72">
        <f t="shared" ref="H9:K9" si="7">SUM(H36:H38)</f>
        <v>5253.4620797444732</v>
      </c>
      <c r="I9" s="72">
        <f t="shared" si="7"/>
        <v>0</v>
      </c>
      <c r="J9" s="72">
        <f t="shared" si="7"/>
        <v>834.22121187045445</v>
      </c>
      <c r="K9" s="72">
        <f t="shared" si="7"/>
        <v>2856.3564989817164</v>
      </c>
      <c r="L9" s="72">
        <f t="shared" ref="L9:P9" si="8">SUM(L36:L38)</f>
        <v>0</v>
      </c>
      <c r="M9" s="72">
        <f t="shared" si="8"/>
        <v>0</v>
      </c>
      <c r="N9" s="72">
        <f t="shared" si="8"/>
        <v>0</v>
      </c>
      <c r="O9" s="72">
        <f t="shared" si="8"/>
        <v>0</v>
      </c>
      <c r="P9" s="72">
        <f t="shared" si="8"/>
        <v>0</v>
      </c>
      <c r="Q9" s="19">
        <f t="shared" si="5"/>
        <v>-13348.839683960679</v>
      </c>
      <c r="R9" s="19">
        <f t="shared" si="6"/>
        <v>93394.71187501392</v>
      </c>
      <c r="S9" s="35"/>
      <c r="T9" s="7"/>
    </row>
    <row r="10" spans="1:20" ht="16" x14ac:dyDescent="0.2">
      <c r="A10" s="7"/>
      <c r="B10" s="7"/>
      <c r="C10" s="35"/>
      <c r="D10" s="35"/>
      <c r="E10" s="35"/>
      <c r="F10" s="72" t="s">
        <v>152</v>
      </c>
      <c r="G10" s="72">
        <f>SUM(G39:G41)</f>
        <v>8740.1043057029783</v>
      </c>
      <c r="H10" s="72">
        <f t="shared" ref="H10:K10" si="9">SUM(H39:H41)</f>
        <v>7139.9769888421451</v>
      </c>
      <c r="I10" s="72">
        <f t="shared" si="9"/>
        <v>1219.7303633912873</v>
      </c>
      <c r="J10" s="72">
        <f t="shared" si="9"/>
        <v>805.56232920635625</v>
      </c>
      <c r="K10" s="72">
        <f t="shared" si="9"/>
        <v>2885.0153816458142</v>
      </c>
      <c r="L10" s="72">
        <f t="shared" ref="L10:P10" si="10">SUM(L39:L41)</f>
        <v>0</v>
      </c>
      <c r="M10" s="72">
        <f t="shared" si="10"/>
        <v>0</v>
      </c>
      <c r="N10" s="72">
        <f t="shared" si="10"/>
        <v>0</v>
      </c>
      <c r="O10" s="72">
        <f t="shared" si="10"/>
        <v>0</v>
      </c>
      <c r="P10" s="72">
        <f t="shared" si="10"/>
        <v>0</v>
      </c>
      <c r="Q10" s="19">
        <f t="shared" si="5"/>
        <v>-3310.1807573826245</v>
      </c>
      <c r="R10" s="19">
        <f t="shared" si="6"/>
        <v>90084.531117631297</v>
      </c>
      <c r="S10" s="35"/>
      <c r="T10" s="7"/>
    </row>
    <row r="11" spans="1:20" ht="16" x14ac:dyDescent="0.2">
      <c r="A11" s="7"/>
      <c r="B11" s="7"/>
      <c r="C11" s="35"/>
      <c r="D11" s="35"/>
      <c r="E11" s="35"/>
      <c r="F11" s="72" t="s">
        <v>158</v>
      </c>
      <c r="G11" s="72">
        <f>SUM(G42:G44)</f>
        <v>-14811.473524938052</v>
      </c>
      <c r="H11" s="72">
        <f t="shared" ref="H11:K11" si="11">SUM(H42:H44)</f>
        <v>6760.4826249180478</v>
      </c>
      <c r="I11" s="72">
        <f t="shared" si="11"/>
        <v>0</v>
      </c>
      <c r="J11" s="72">
        <f t="shared" si="11"/>
        <v>776.61590135808865</v>
      </c>
      <c r="K11" s="72">
        <f t="shared" si="11"/>
        <v>2913.9618094940824</v>
      </c>
      <c r="L11" s="72">
        <f t="shared" ref="L11:P11" si="12">SUM(L42:L44)</f>
        <v>0</v>
      </c>
      <c r="M11" s="72">
        <f t="shared" si="12"/>
        <v>0</v>
      </c>
      <c r="N11" s="72">
        <f t="shared" si="12"/>
        <v>0</v>
      </c>
      <c r="O11" s="72">
        <f t="shared" si="12"/>
        <v>0</v>
      </c>
      <c r="P11" s="72">
        <f t="shared" si="12"/>
        <v>0</v>
      </c>
      <c r="Q11" s="19">
        <f t="shared" si="5"/>
        <v>-25262.53386070827</v>
      </c>
      <c r="R11" s="19">
        <f t="shared" si="6"/>
        <v>64821.99725692303</v>
      </c>
      <c r="S11" s="35"/>
      <c r="T11" s="7"/>
    </row>
    <row r="12" spans="1:20" ht="16" x14ac:dyDescent="0.2">
      <c r="A12" s="7"/>
      <c r="B12" s="7"/>
      <c r="C12" s="35"/>
      <c r="D12" s="35"/>
      <c r="E12" s="35"/>
      <c r="F12" s="72" t="s">
        <v>159</v>
      </c>
      <c r="G12" s="72">
        <f>SUM(G45:G47)</f>
        <v>560.8606369016893</v>
      </c>
      <c r="H12" s="72">
        <f t="shared" ref="H12:K12" si="13">SUM(H45:H47)</f>
        <v>8687.7986080592182</v>
      </c>
      <c r="I12" s="72">
        <f t="shared" si="13"/>
        <v>0</v>
      </c>
      <c r="J12" s="72">
        <f t="shared" si="13"/>
        <v>747.37904327831995</v>
      </c>
      <c r="K12" s="72">
        <f t="shared" si="13"/>
        <v>2943.1986675738508</v>
      </c>
      <c r="L12" s="72">
        <f t="shared" ref="L12:P12" si="14">SUM(L45:L47)</f>
        <v>0</v>
      </c>
      <c r="M12" s="72">
        <f t="shared" si="14"/>
        <v>0</v>
      </c>
      <c r="N12" s="72">
        <f t="shared" si="14"/>
        <v>0</v>
      </c>
      <c r="O12" s="72">
        <f t="shared" si="14"/>
        <v>0</v>
      </c>
      <c r="P12" s="72">
        <f t="shared" si="14"/>
        <v>0</v>
      </c>
      <c r="Q12" s="19">
        <f t="shared" si="5"/>
        <v>-11817.5156820097</v>
      </c>
      <c r="R12" s="19">
        <f t="shared" si="6"/>
        <v>53004.481574913327</v>
      </c>
      <c r="S12" s="35"/>
      <c r="T12" s="7"/>
    </row>
    <row r="13" spans="1:20" ht="16" x14ac:dyDescent="0.2">
      <c r="A13" s="7"/>
      <c r="B13" s="7"/>
      <c r="C13" s="35"/>
      <c r="D13" s="35"/>
      <c r="E13" s="35"/>
      <c r="F13" s="72" t="s">
        <v>160</v>
      </c>
      <c r="G13" s="72">
        <f>SUM(G48:G50)</f>
        <v>-6559.5365463815124</v>
      </c>
      <c r="H13" s="72">
        <f t="shared" ref="H13:K13" si="15">SUM(H48:H50)</f>
        <v>7795.0743702709397</v>
      </c>
      <c r="I13" s="72">
        <f t="shared" si="15"/>
        <v>149.12036861554435</v>
      </c>
      <c r="J13" s="72">
        <f t="shared" si="15"/>
        <v>717.84884097297095</v>
      </c>
      <c r="K13" s="72">
        <f t="shared" si="15"/>
        <v>2972.7288698791999</v>
      </c>
      <c r="L13" s="72">
        <f t="shared" ref="L13:P13" si="16">SUM(L48:L50)</f>
        <v>0</v>
      </c>
      <c r="M13" s="72">
        <f t="shared" si="16"/>
        <v>0</v>
      </c>
      <c r="N13" s="72">
        <f t="shared" si="16"/>
        <v>0</v>
      </c>
      <c r="O13" s="72">
        <f t="shared" si="16"/>
        <v>0</v>
      </c>
      <c r="P13" s="72">
        <f t="shared" si="16"/>
        <v>0</v>
      </c>
      <c r="Q13" s="19">
        <f t="shared" si="5"/>
        <v>-18194.308996120166</v>
      </c>
      <c r="R13" s="19">
        <f t="shared" si="6"/>
        <v>34810.172578793165</v>
      </c>
      <c r="S13" s="35"/>
      <c r="T13" s="7"/>
    </row>
    <row r="14" spans="1:20" ht="16" x14ac:dyDescent="0.2">
      <c r="A14" s="7"/>
      <c r="B14" s="7"/>
      <c r="C14" s="35"/>
      <c r="D14" s="35"/>
      <c r="E14" s="35"/>
      <c r="F14" s="72" t="s">
        <v>161</v>
      </c>
      <c r="G14" s="72">
        <f>SUM(G51:G53)</f>
        <v>11955.363195383641</v>
      </c>
      <c r="H14" s="72">
        <f t="shared" ref="H14:K14" si="17">SUM(H51:H53)</f>
        <v>10116.391472988003</v>
      </c>
      <c r="I14" s="72">
        <f t="shared" si="17"/>
        <v>2304.4818523580175</v>
      </c>
      <c r="J14" s="72">
        <f t="shared" si="17"/>
        <v>688.02235121078036</v>
      </c>
      <c r="K14" s="72">
        <f t="shared" si="17"/>
        <v>3002.5553596413902</v>
      </c>
      <c r="L14" s="72">
        <f t="shared" ref="L14:P14" si="18">SUM(L51:L53)</f>
        <v>0</v>
      </c>
      <c r="M14" s="72">
        <f t="shared" si="18"/>
        <v>0</v>
      </c>
      <c r="N14" s="72">
        <f t="shared" si="18"/>
        <v>0</v>
      </c>
      <c r="O14" s="72">
        <f t="shared" si="18"/>
        <v>0</v>
      </c>
      <c r="P14" s="72">
        <f t="shared" si="18"/>
        <v>0</v>
      </c>
      <c r="Q14" s="19">
        <f t="shared" si="5"/>
        <v>-4156.0878408145509</v>
      </c>
      <c r="R14" s="19">
        <f t="shared" si="6"/>
        <v>30654.084737978614</v>
      </c>
      <c r="S14" s="35"/>
      <c r="T14" s="7"/>
    </row>
    <row r="15" spans="1:20" ht="16" x14ac:dyDescent="0.2">
      <c r="A15" s="7"/>
      <c r="B15" s="7"/>
      <c r="C15" s="35"/>
      <c r="D15" s="35"/>
      <c r="E15" s="35"/>
      <c r="F15" s="72" t="s">
        <v>162</v>
      </c>
      <c r="G15" s="72">
        <f>SUM(G54:G56)</f>
        <v>1033.0278060919927</v>
      </c>
      <c r="H15" s="72">
        <f t="shared" ref="H15:K15" si="19">SUM(H54:H56)</f>
        <v>9708.6673092936653</v>
      </c>
      <c r="I15" s="72">
        <f t="shared" si="19"/>
        <v>614.30472340010783</v>
      </c>
      <c r="J15" s="72">
        <f t="shared" si="19"/>
        <v>657.89660122995758</v>
      </c>
      <c r="K15" s="72">
        <f t="shared" si="19"/>
        <v>3032.6811096222136</v>
      </c>
      <c r="L15" s="72">
        <f t="shared" ref="L15:P15" si="20">SUM(L54:L56)</f>
        <v>0</v>
      </c>
      <c r="M15" s="72">
        <f t="shared" si="20"/>
        <v>0</v>
      </c>
      <c r="N15" s="72">
        <f t="shared" si="20"/>
        <v>0</v>
      </c>
      <c r="O15" s="72">
        <f t="shared" si="20"/>
        <v>0</v>
      </c>
      <c r="P15" s="72">
        <f t="shared" si="20"/>
        <v>0</v>
      </c>
      <c r="Q15" s="19">
        <f t="shared" si="5"/>
        <v>-12980.521937453952</v>
      </c>
      <c r="R15" s="19">
        <f t="shared" si="6"/>
        <v>17673.562800524662</v>
      </c>
      <c r="S15" s="8"/>
    </row>
    <row r="16" spans="1:20" ht="16" x14ac:dyDescent="0.2">
      <c r="A16" s="7"/>
      <c r="B16" s="7"/>
      <c r="C16" s="35"/>
      <c r="D16" s="35"/>
      <c r="E16" s="35"/>
      <c r="F16" s="72" t="s">
        <v>163</v>
      </c>
      <c r="G16" s="72">
        <f>SUM(G57:G59)</f>
        <v>21389.381965242974</v>
      </c>
      <c r="H16" s="72">
        <f t="shared" ref="H16:K16" si="21">SUM(H57:H59)</f>
        <v>12099.211649481491</v>
      </c>
      <c r="I16" s="72">
        <f t="shared" si="21"/>
        <v>4583.0458442002709</v>
      </c>
      <c r="J16" s="72">
        <f t="shared" si="21"/>
        <v>627.46858844189228</v>
      </c>
      <c r="K16" s="72">
        <f t="shared" si="21"/>
        <v>3063.1091224102788</v>
      </c>
      <c r="L16" s="72">
        <f t="shared" ref="L16:P16" si="22">SUM(L57:L59)</f>
        <v>0</v>
      </c>
      <c r="M16" s="72">
        <f t="shared" si="22"/>
        <v>0</v>
      </c>
      <c r="N16" s="72">
        <f t="shared" si="22"/>
        <v>0</v>
      </c>
      <c r="O16" s="72">
        <f t="shared" si="22"/>
        <v>0</v>
      </c>
      <c r="P16" s="72">
        <f t="shared" si="22"/>
        <v>0</v>
      </c>
      <c r="Q16" s="19">
        <f t="shared" si="5"/>
        <v>1016.5467607090409</v>
      </c>
      <c r="R16" s="19">
        <f t="shared" si="6"/>
        <v>18690.109561233701</v>
      </c>
      <c r="S16" s="8"/>
    </row>
    <row r="17" spans="1:22" ht="16" x14ac:dyDescent="0.2">
      <c r="A17" s="7"/>
      <c r="B17" s="7"/>
      <c r="C17" s="35"/>
      <c r="D17" s="35"/>
      <c r="E17" s="35"/>
      <c r="F17" s="72" t="s">
        <v>164</v>
      </c>
      <c r="G17" s="72">
        <f>SUM(G60:G62)</f>
        <v>8411.0448922352298</v>
      </c>
      <c r="H17" s="72">
        <f t="shared" ref="H17:K17" si="23">SUM(H60:H62)</f>
        <v>10575.10325598602</v>
      </c>
      <c r="I17" s="72">
        <f t="shared" si="23"/>
        <v>1941.3364478342166</v>
      </c>
      <c r="J17" s="72">
        <f t="shared" si="23"/>
        <v>596.73528013188968</v>
      </c>
      <c r="K17" s="72">
        <f t="shared" si="23"/>
        <v>3093.8424307202808</v>
      </c>
      <c r="L17" s="72">
        <f t="shared" ref="L17:P17" si="24">SUM(L60:L62)</f>
        <v>0</v>
      </c>
      <c r="M17" s="72">
        <f t="shared" si="24"/>
        <v>0</v>
      </c>
      <c r="N17" s="72">
        <f t="shared" si="24"/>
        <v>0</v>
      </c>
      <c r="O17" s="72">
        <f t="shared" si="24"/>
        <v>0</v>
      </c>
      <c r="P17" s="72">
        <f t="shared" si="24"/>
        <v>0</v>
      </c>
      <c r="Q17" s="19">
        <f t="shared" si="5"/>
        <v>-7795.9725224371759</v>
      </c>
      <c r="R17" s="19">
        <f t="shared" si="6"/>
        <v>10894.137038796525</v>
      </c>
      <c r="S17" s="8"/>
    </row>
    <row r="18" spans="1:22" ht="16" x14ac:dyDescent="0.2">
      <c r="A18" s="7"/>
      <c r="B18" s="7"/>
      <c r="C18" s="35"/>
      <c r="D18" s="35"/>
      <c r="E18" s="35"/>
      <c r="F18" s="72" t="s">
        <v>165</v>
      </c>
      <c r="G18" s="72">
        <f>SUM(G63:G65)</f>
        <v>32593.15352517158</v>
      </c>
      <c r="H18" s="72">
        <f t="shared" ref="H18:K18" si="25">SUM(H63:H65)</f>
        <v>13414.924300280731</v>
      </c>
      <c r="I18" s="72">
        <f t="shared" si="25"/>
        <v>7399.4324780036695</v>
      </c>
      <c r="J18" s="72">
        <f t="shared" si="25"/>
        <v>565.69361315690617</v>
      </c>
      <c r="K18" s="72">
        <f t="shared" si="25"/>
        <v>3124.8840976952642</v>
      </c>
      <c r="L18" s="72">
        <f t="shared" ref="L18:P18" si="26">SUM(L63:L65)</f>
        <v>0</v>
      </c>
      <c r="M18" s="72">
        <f t="shared" si="26"/>
        <v>0</v>
      </c>
      <c r="N18" s="72">
        <f t="shared" si="26"/>
        <v>0</v>
      </c>
      <c r="O18" s="72">
        <f t="shared" si="26"/>
        <v>0</v>
      </c>
      <c r="P18" s="72">
        <f t="shared" si="26"/>
        <v>0</v>
      </c>
      <c r="Q18" s="19">
        <f t="shared" si="5"/>
        <v>8088.2190360350096</v>
      </c>
      <c r="R18" s="19">
        <f t="shared" si="6"/>
        <v>18982.356074831536</v>
      </c>
      <c r="S18" s="8"/>
    </row>
    <row r="19" spans="1:22" x14ac:dyDescent="0.2"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22" x14ac:dyDescent="0.2"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22" x14ac:dyDescent="0.2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22" x14ac:dyDescent="0.2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22" x14ac:dyDescent="0.2"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22" x14ac:dyDescent="0.2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22" x14ac:dyDescent="0.2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22" x14ac:dyDescent="0.2"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22" ht="22" customHeight="1" x14ac:dyDescent="0.25">
      <c r="A27" s="139" t="s">
        <v>266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8"/>
    </row>
    <row r="28" spans="1:22" s="2" customFormat="1" ht="15" customHeight="1" x14ac:dyDescent="0.2">
      <c r="A28" s="74" t="s">
        <v>4</v>
      </c>
      <c r="B28" s="74" t="s">
        <v>267</v>
      </c>
      <c r="C28" s="75" t="s">
        <v>195</v>
      </c>
      <c r="D28" s="63" t="s">
        <v>196</v>
      </c>
      <c r="E28" s="75" t="s">
        <v>417</v>
      </c>
      <c r="F28" s="75" t="s">
        <v>19</v>
      </c>
      <c r="G28" s="75" t="s">
        <v>132</v>
      </c>
      <c r="H28" s="75" t="s">
        <v>204</v>
      </c>
      <c r="I28" s="75" t="s">
        <v>205</v>
      </c>
      <c r="J28" s="75" t="s">
        <v>206</v>
      </c>
      <c r="K28" s="75" t="s">
        <v>207</v>
      </c>
      <c r="L28" s="75" t="s">
        <v>208</v>
      </c>
      <c r="M28" s="75" t="s">
        <v>209</v>
      </c>
      <c r="N28" s="75" t="s">
        <v>210</v>
      </c>
      <c r="O28" s="76" t="s">
        <v>211</v>
      </c>
      <c r="P28" s="75" t="s">
        <v>214</v>
      </c>
      <c r="Q28" s="75" t="s">
        <v>212</v>
      </c>
      <c r="R28" s="75" t="s">
        <v>213</v>
      </c>
      <c r="S28" s="12"/>
      <c r="U28" s="156"/>
      <c r="V28" s="157"/>
    </row>
    <row r="29" spans="1:22" ht="22" customHeight="1" x14ac:dyDescent="0.2">
      <c r="A29" s="77" t="s">
        <v>225</v>
      </c>
      <c r="B29" s="78">
        <v>0</v>
      </c>
      <c r="C29" s="19">
        <v>0</v>
      </c>
      <c r="D29" s="19">
        <v>0</v>
      </c>
      <c r="E29" s="19">
        <v>0</v>
      </c>
      <c r="F29" s="19">
        <v>0</v>
      </c>
      <c r="G29" s="19">
        <f>B29-C29-E29-D29</f>
        <v>0</v>
      </c>
      <c r="H29" s="19">
        <v>0</v>
      </c>
      <c r="I29" s="19">
        <v>0</v>
      </c>
      <c r="J29" s="19">
        <v>0</v>
      </c>
      <c r="K29" s="19">
        <v>0</v>
      </c>
      <c r="L29" s="19">
        <f>-Hypothèses!B53</f>
        <v>-135500</v>
      </c>
      <c r="M29" s="19">
        <f>Hypothèses!B85</f>
        <v>55000</v>
      </c>
      <c r="N29" s="19">
        <f>Hypothèses!B86</f>
        <v>110000</v>
      </c>
      <c r="O29" s="19">
        <f>Hypothèses!B87</f>
        <v>90000</v>
      </c>
      <c r="P29" s="19">
        <f>Hypothèses!B88</f>
        <v>20000</v>
      </c>
      <c r="Q29" s="19">
        <f>G29-H29-I29-J29-K29+L29+M29+N29+O29+P29</f>
        <v>139500</v>
      </c>
      <c r="R29" s="19">
        <f>Q29</f>
        <v>139500</v>
      </c>
      <c r="S29" s="8"/>
      <c r="U29" s="158"/>
      <c r="V29" s="159"/>
    </row>
    <row r="30" spans="1:22" ht="22" customHeight="1" x14ac:dyDescent="0.2">
      <c r="A30" s="77" t="s">
        <v>226</v>
      </c>
      <c r="B30" s="78">
        <f>CA!F71</f>
        <v>11640.239999721023</v>
      </c>
      <c r="C30" s="19">
        <f>'Coûts &amp; variables'!K45</f>
        <v>3475.8050397350025</v>
      </c>
      <c r="D30" s="19">
        <f>'Coûts &amp; variables'!$B$119+0.013*CA!F115</f>
        <v>2222.2314879999999</v>
      </c>
      <c r="E30" s="19">
        <f>'Coûts &amp; variables'!$B$102</f>
        <v>11620</v>
      </c>
      <c r="F30" s="19">
        <f>Hypothèses!$C$12</f>
        <v>3600</v>
      </c>
      <c r="G30" s="19">
        <f t="shared" ref="G30:G65" si="27">B30-C30-E30-D30</f>
        <v>-5677.7965280139797</v>
      </c>
      <c r="H30" s="19" cm="1">
        <f t="array" ref="H30:H65">'Coûts &amp; variables'!K45:K80*0.33</f>
        <v>1147.0156631125508</v>
      </c>
      <c r="I30" s="19">
        <f>IF(G30-J30-('Coûts &amp; variables'!$G$134)&lt;=0,0,(G30-J30-('Coûts &amp; variables'!$G$134))*0.25)</f>
        <v>0</v>
      </c>
      <c r="J30" s="19">
        <f>'Coûts &amp; variables'!C139</f>
        <v>300</v>
      </c>
      <c r="K30" s="19">
        <f>'Coûts &amp; variables'!D139</f>
        <v>930.19257028405696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f>G30-H30-I30-J30-K30+L30+M30+N30+O30+P30</f>
        <v>-8055.0047614105879</v>
      </c>
      <c r="R30" s="19">
        <f>R29+Q30</f>
        <v>131444.99523858941</v>
      </c>
      <c r="S30" s="8"/>
      <c r="U30" s="158"/>
      <c r="V30" s="159"/>
    </row>
    <row r="31" spans="1:22" ht="22" customHeight="1" x14ac:dyDescent="0.2">
      <c r="A31" s="77" t="s">
        <v>228</v>
      </c>
      <c r="B31" s="78">
        <f>CA!F72</f>
        <v>13162.730481502716</v>
      </c>
      <c r="C31" s="19">
        <f>'Coûts &amp; variables'!K46</f>
        <v>3930.4245398185249</v>
      </c>
      <c r="D31" s="19">
        <f>'Coûts &amp; variables'!$B$119+0.013*CA!F116</f>
        <v>2244.75858376</v>
      </c>
      <c r="E31" s="19">
        <f>'Coûts &amp; variables'!$B$102</f>
        <v>11620</v>
      </c>
      <c r="F31" s="19">
        <f>Hypothèses!$C$12</f>
        <v>3600</v>
      </c>
      <c r="G31" s="19">
        <f t="shared" si="27"/>
        <v>-4632.4526420758084</v>
      </c>
      <c r="H31" s="19">
        <v>1297.0400981401133</v>
      </c>
      <c r="I31" s="19">
        <f>IF(G31-J31-('Coûts &amp; variables'!$G$134)&lt;=0,0,(G31-J31-('Coûts &amp; variables'!$G$134))*0.25)</f>
        <v>0</v>
      </c>
      <c r="J31" s="19">
        <f>'Coûts &amp; variables'!C140</f>
        <v>296.89935809905319</v>
      </c>
      <c r="K31" s="19">
        <f>'Coûts &amp; variables'!D140</f>
        <v>933.29321218500377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f t="shared" ref="Q31:Q65" si="28">G31-H31-I31-J31-K31+L31+M31+N31+O31+P31</f>
        <v>-7159.6853104999782</v>
      </c>
      <c r="R31" s="19">
        <f t="shared" ref="R31:R65" si="29">R30+Q31</f>
        <v>124285.30992808944</v>
      </c>
      <c r="S31" s="8"/>
      <c r="U31" s="158"/>
      <c r="V31" s="159"/>
    </row>
    <row r="32" spans="1:22" ht="22" customHeight="1" x14ac:dyDescent="0.2">
      <c r="A32" s="77" t="s">
        <v>229</v>
      </c>
      <c r="B32" s="78">
        <f>CA!F73</f>
        <v>15599.905731444307</v>
      </c>
      <c r="C32" s="19">
        <f>'Coûts &amp; variables'!K47</f>
        <v>4658.1712200130414</v>
      </c>
      <c r="D32" s="19">
        <f>'Coûts &amp; variables'!$B$119+0.013*CA!F117</f>
        <v>2280.81955156</v>
      </c>
      <c r="E32" s="19">
        <f>'Coûts &amp; variables'!$B$102</f>
        <v>11620</v>
      </c>
      <c r="F32" s="19">
        <f>Hypothèses!$C$12</f>
        <v>3600</v>
      </c>
      <c r="G32" s="19">
        <f t="shared" si="27"/>
        <v>-2959.0850401287335</v>
      </c>
      <c r="H32" s="19">
        <v>1537.1965026043038</v>
      </c>
      <c r="I32" s="19">
        <f>IF(G32-J32-('Coûts &amp; variables'!$G$134)&lt;=0,0,(G32-J32-('Coûts &amp; variables'!$G$134))*0.25)</f>
        <v>0</v>
      </c>
      <c r="J32" s="19">
        <f>'Coûts &amp; variables'!C141</f>
        <v>293.7883807251032</v>
      </c>
      <c r="K32" s="19">
        <f>'Coûts &amp; variables'!D141</f>
        <v>936.4041895589537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f t="shared" si="28"/>
        <v>-5726.4741130170933</v>
      </c>
      <c r="R32" s="19">
        <f>R31+Q32</f>
        <v>118558.83581507235</v>
      </c>
      <c r="S32" s="8"/>
      <c r="U32" s="158"/>
      <c r="V32" s="159"/>
    </row>
    <row r="33" spans="1:22" ht="22" customHeight="1" x14ac:dyDescent="0.2">
      <c r="A33" s="77" t="s">
        <v>230</v>
      </c>
      <c r="B33" s="78">
        <f>CA!F74</f>
        <v>17357.185145038551</v>
      </c>
      <c r="C33" s="19">
        <f>'Coûts &amp; variables'!K48</f>
        <v>5182.8992876593984</v>
      </c>
      <c r="D33" s="19">
        <f>'Coûts &amp; variables'!$B$119+0.013*CA!F118</f>
        <v>2306.8206347199998</v>
      </c>
      <c r="E33" s="19">
        <f>'Coûts &amp; variables'!$B$102</f>
        <v>11620</v>
      </c>
      <c r="F33" s="19">
        <f>Hypothèses!$C$12</f>
        <v>3600</v>
      </c>
      <c r="G33" s="19">
        <f t="shared" si="27"/>
        <v>-1752.5347773408471</v>
      </c>
      <c r="H33" s="19">
        <v>1710.3567649276015</v>
      </c>
      <c r="I33" s="19">
        <f>IF(G33-J33-('Coûts &amp; variables'!$G$134)&lt;=0,0,(G33-J33-('Coûts &amp; variables'!$G$134))*0.25)</f>
        <v>0</v>
      </c>
      <c r="J33" s="19">
        <f>'Coûts &amp; variables'!C142</f>
        <v>290.66703342657337</v>
      </c>
      <c r="K33" s="19">
        <f>'Coûts &amp; variables'!D142</f>
        <v>939.52553685748353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f t="shared" si="28"/>
        <v>-4693.0841125525058</v>
      </c>
      <c r="R33" s="19">
        <f t="shared" si="29"/>
        <v>113865.75170251985</v>
      </c>
      <c r="S33" s="8"/>
      <c r="U33" s="158"/>
      <c r="V33" s="159"/>
    </row>
    <row r="34" spans="1:22" ht="22" customHeight="1" x14ac:dyDescent="0.2">
      <c r="A34" s="77" t="s">
        <v>231</v>
      </c>
      <c r="B34" s="78">
        <f>CA!F75</f>
        <v>19207.057376812394</v>
      </c>
      <c r="C34" s="19">
        <f>'Coûts &amp; variables'!K49</f>
        <v>5735.2758044854663</v>
      </c>
      <c r="D34" s="19">
        <f>'Coûts &amp; variables'!$B$119+0.013*CA!F119</f>
        <v>2334.1917410799997</v>
      </c>
      <c r="E34" s="19">
        <f>'Coûts &amp; variables'!$B$102</f>
        <v>11620</v>
      </c>
      <c r="F34" s="19">
        <f>Hypothèses!$C$12</f>
        <v>3600</v>
      </c>
      <c r="G34" s="19">
        <f t="shared" si="27"/>
        <v>-482.41016875307287</v>
      </c>
      <c r="H34" s="19">
        <v>1892.641015480204</v>
      </c>
      <c r="I34" s="19">
        <f>IF(G34-J34-('Coûts &amp; variables'!$G$134)&lt;=0,0,(G34-J34-('Coûts &amp; variables'!$G$134))*0.25)</f>
        <v>0</v>
      </c>
      <c r="J34" s="19">
        <f>'Coûts &amp; variables'!C143</f>
        <v>287.5352816370484</v>
      </c>
      <c r="K34" s="19">
        <f>'Coûts &amp; variables'!D143</f>
        <v>942.6572886470085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f t="shared" si="28"/>
        <v>-3605.2437545173339</v>
      </c>
      <c r="R34" s="19">
        <f t="shared" si="29"/>
        <v>110260.50794800252</v>
      </c>
      <c r="S34" s="8"/>
      <c r="U34" s="158"/>
      <c r="V34" s="159"/>
    </row>
    <row r="35" spans="1:22" ht="22" customHeight="1" x14ac:dyDescent="0.2">
      <c r="A35" s="77" t="s">
        <v>232</v>
      </c>
      <c r="B35" s="78">
        <f>CA!F76</f>
        <v>19357.19001771789</v>
      </c>
      <c r="C35" s="19">
        <f>'Coûts &amp; variables'!K50</f>
        <v>5780.1057899411408</v>
      </c>
      <c r="D35" s="19">
        <f>'Coûts &amp; variables'!$B$119+0.013*CA!F120</f>
        <v>2336.41313584</v>
      </c>
      <c r="E35" s="19">
        <f>'Coûts &amp; variables'!$B$102</f>
        <v>11620</v>
      </c>
      <c r="F35" s="19">
        <f>Hypothèses!$C$12</f>
        <v>3600</v>
      </c>
      <c r="G35" s="19">
        <f t="shared" si="27"/>
        <v>-379.32890806325031</v>
      </c>
      <c r="H35" s="19">
        <v>1907.4349106805766</v>
      </c>
      <c r="I35" s="19">
        <f>IF(G35-J35-('Coûts &amp; variables'!$G$134)&lt;=0,0,(G35-J35-('Coûts &amp; variables'!$G$134))*0.25)</f>
        <v>0</v>
      </c>
      <c r="J35" s="19">
        <f>'Coûts &amp; variables'!C144</f>
        <v>284.39309067489171</v>
      </c>
      <c r="K35" s="19">
        <f>'Coûts &amp; variables'!D144</f>
        <v>945.79947960916525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f t="shared" si="28"/>
        <v>-3516.9563890278841</v>
      </c>
      <c r="R35" s="19">
        <f t="shared" si="29"/>
        <v>106743.55155897464</v>
      </c>
      <c r="S35" s="8"/>
      <c r="U35" s="158"/>
      <c r="V35" s="159"/>
    </row>
    <row r="36" spans="1:22" ht="22" customHeight="1" x14ac:dyDescent="0.2">
      <c r="A36" s="77" t="s">
        <v>233</v>
      </c>
      <c r="B36" s="78">
        <f>CA!F77</f>
        <v>16645.543199601059</v>
      </c>
      <c r="C36" s="19">
        <f>'Coûts &amp; variables'!K51</f>
        <v>4970.4012068210541</v>
      </c>
      <c r="D36" s="19">
        <f>'Coûts &amp; variables'!$B$119+0.013*CA!F121</f>
        <v>2296.29102784</v>
      </c>
      <c r="E36" s="19">
        <f>'Coûts &amp; variables'!$B$102</f>
        <v>11620</v>
      </c>
      <c r="F36" s="19">
        <f>Hypothèses!$C$12</f>
        <v>3600</v>
      </c>
      <c r="G36" s="19">
        <f t="shared" si="27"/>
        <v>-2241.1490350599947</v>
      </c>
      <c r="H36" s="19">
        <v>1640.2323982509479</v>
      </c>
      <c r="I36" s="19">
        <f>IF(G36-J36-('Coûts &amp; variables'!$G$134)&lt;=0,0,(G36-J36-('Coûts &amp; variables'!$G$134))*0.25)</f>
        <v>0</v>
      </c>
      <c r="J36" s="19">
        <f>'Coûts &amp; variables'!C145</f>
        <v>281.24042574286113</v>
      </c>
      <c r="K36" s="19">
        <f>'Coûts &amp; variables'!D145</f>
        <v>948.95214454119582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f t="shared" si="28"/>
        <v>-5111.5740035949993</v>
      </c>
      <c r="R36" s="19">
        <f t="shared" si="29"/>
        <v>101631.97755537964</v>
      </c>
      <c r="S36" s="8"/>
      <c r="U36" s="158"/>
      <c r="V36" s="159"/>
    </row>
    <row r="37" spans="1:22" ht="22" customHeight="1" x14ac:dyDescent="0.2">
      <c r="A37" s="77" t="s">
        <v>234</v>
      </c>
      <c r="B37" s="78">
        <f>CA!F78</f>
        <v>15277.814999633842</v>
      </c>
      <c r="C37" s="19">
        <f>'Coûts &amp; variables'!K52</f>
        <v>4561.9941146521915</v>
      </c>
      <c r="D37" s="19">
        <f>'Coûts &amp; variables'!$B$119+0.013*CA!F122</f>
        <v>2276.0538280000001</v>
      </c>
      <c r="E37" s="19">
        <f>'Coûts &amp; variables'!$B$102</f>
        <v>11620</v>
      </c>
      <c r="F37" s="19">
        <f>Hypothèses!$C$12</f>
        <v>3600</v>
      </c>
      <c r="G37" s="19">
        <f t="shared" si="27"/>
        <v>-3180.232943018349</v>
      </c>
      <c r="H37" s="19">
        <v>1505.4580578352231</v>
      </c>
      <c r="I37" s="19">
        <f>IF(G37-J37-('Coûts &amp; variables'!$G$134)&lt;=0,0,(G37-J37-('Coûts &amp; variables'!$G$134))*0.25)</f>
        <v>0</v>
      </c>
      <c r="J37" s="19">
        <f>'Coûts &amp; variables'!C146</f>
        <v>278.07725192772381</v>
      </c>
      <c r="K37" s="19">
        <f>'Coûts &amp; variables'!D146</f>
        <v>952.11531835633309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f t="shared" si="28"/>
        <v>-5915.8835711376287</v>
      </c>
      <c r="R37" s="19">
        <f t="shared" si="29"/>
        <v>95716.093984242005</v>
      </c>
      <c r="S37" s="8"/>
      <c r="U37" s="158"/>
      <c r="V37" s="159"/>
    </row>
    <row r="38" spans="1:22" ht="22" customHeight="1" x14ac:dyDescent="0.2">
      <c r="A38" s="77" t="s">
        <v>235</v>
      </c>
      <c r="B38" s="78">
        <f>CA!F79</f>
        <v>21390.2637540328</v>
      </c>
      <c r="C38" s="19">
        <f>'Coûts &amp; variables'!K53</f>
        <v>6387.1867383584922</v>
      </c>
      <c r="D38" s="19">
        <f>'Coûts &amp; variables'!$B$119+0.013*CA!F123</f>
        <v>2366.4949309600001</v>
      </c>
      <c r="E38" s="19">
        <f>'Coûts &amp; variables'!$B$102</f>
        <v>11620</v>
      </c>
      <c r="F38" s="19">
        <f>Hypothèses!$C$12</f>
        <v>3600</v>
      </c>
      <c r="G38" s="19">
        <f t="shared" si="27"/>
        <v>1016.5820847143073</v>
      </c>
      <c r="H38" s="19">
        <v>2107.7716236583024</v>
      </c>
      <c r="I38" s="19">
        <f>IF(G38-J38-('Coûts &amp; variables'!$G$134)&lt;=0,0,(G38-J38-('Coûts &amp; variables'!$G$134))*0.25)</f>
        <v>0</v>
      </c>
      <c r="J38" s="19">
        <f>'Coûts &amp; variables'!C147</f>
        <v>274.9035341998694</v>
      </c>
      <c r="K38" s="19">
        <f>'Coûts &amp; variables'!D147</f>
        <v>955.2890360841875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f t="shared" si="28"/>
        <v>-2321.3821092280523</v>
      </c>
      <c r="R38" s="19">
        <f t="shared" si="29"/>
        <v>93394.711875013949</v>
      </c>
      <c r="S38" s="8"/>
      <c r="U38" s="158"/>
      <c r="V38" s="159"/>
    </row>
    <row r="39" spans="1:22" ht="22" customHeight="1" x14ac:dyDescent="0.2">
      <c r="A39" s="77" t="s">
        <v>236</v>
      </c>
      <c r="B39" s="78">
        <f>CA!F80</f>
        <v>23500.057253982239</v>
      </c>
      <c r="C39" s="19">
        <f>'Coûts &amp; variables'!K54</f>
        <v>7017.1764018104623</v>
      </c>
      <c r="D39" s="19">
        <f>'Coûts &amp; variables'!$B$119+0.013*CA!F124</f>
        <v>2397.7118881599999</v>
      </c>
      <c r="E39" s="19">
        <f>'Coûts &amp; variables'!$B$102</f>
        <v>11620</v>
      </c>
      <c r="F39" s="19">
        <f>Hypothèses!$C$12</f>
        <v>3600</v>
      </c>
      <c r="G39" s="19">
        <f t="shared" si="27"/>
        <v>2465.1689640117766</v>
      </c>
      <c r="H39" s="19">
        <v>2315.6682125974526</v>
      </c>
      <c r="I39" s="19">
        <f>IF(G39-J39-('Coûts &amp; variables'!$G$134)&lt;=0,0,(G39-J39-('Coûts &amp; variables'!$G$134))*0.25)</f>
        <v>234.77116180844376</v>
      </c>
      <c r="J39" s="19">
        <f>'Coûts &amp; variables'!C148</f>
        <v>271.7192374129221</v>
      </c>
      <c r="K39" s="19">
        <f>'Coûts &amp; variables'!D148</f>
        <v>958.47333287113486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f t="shared" si="28"/>
        <v>-1315.4629806781768</v>
      </c>
      <c r="R39" s="19">
        <f t="shared" si="29"/>
        <v>92079.248894335775</v>
      </c>
      <c r="S39" s="8"/>
      <c r="U39" s="158"/>
      <c r="V39" s="159"/>
    </row>
    <row r="40" spans="1:22" ht="22" customHeight="1" x14ac:dyDescent="0.2">
      <c r="A40" s="77" t="s">
        <v>237</v>
      </c>
      <c r="B40" s="78">
        <f>CA!F81</f>
        <v>21097.273622221644</v>
      </c>
      <c r="C40" s="19">
        <f>'Coûts &amp; variables'!K55</f>
        <v>6299.699145596981</v>
      </c>
      <c r="D40" s="19">
        <f>'Coûts &amp; variables'!$B$119+0.013*CA!F125</f>
        <v>2362.1597861199998</v>
      </c>
      <c r="E40" s="19">
        <f>'Coûts &amp; variables'!$B$102</f>
        <v>11620</v>
      </c>
      <c r="F40" s="19">
        <f>Hypothèses!$C$12</f>
        <v>3600</v>
      </c>
      <c r="G40" s="19">
        <f t="shared" si="27"/>
        <v>815.41469050466458</v>
      </c>
      <c r="H40" s="19">
        <v>2078.9007180470039</v>
      </c>
      <c r="I40" s="19">
        <f>IF(G40-J40-('Coûts &amp; variables'!$G$134)&lt;=0,0,(G40-J40-('Coûts &amp; variables'!$G$134))*0.25)</f>
        <v>0</v>
      </c>
      <c r="J40" s="19">
        <f>'Coûts &amp; variables'!C149</f>
        <v>268.52432630335164</v>
      </c>
      <c r="K40" s="19">
        <f>'Coûts &amp; variables'!D149</f>
        <v>961.66824398070526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f t="shared" si="28"/>
        <v>-2493.6785978263961</v>
      </c>
      <c r="R40" s="19">
        <f t="shared" si="29"/>
        <v>89585.570296509381</v>
      </c>
      <c r="S40" s="8"/>
      <c r="U40" s="158"/>
      <c r="V40" s="159"/>
    </row>
    <row r="41" spans="1:22" ht="22" customHeight="1" x14ac:dyDescent="0.2">
      <c r="A41" s="77" t="s">
        <v>238</v>
      </c>
      <c r="B41" s="78">
        <f>CA!F82</f>
        <v>27861.178990241347</v>
      </c>
      <c r="C41" s="19">
        <f>'Coûts &amp; variables'!K56</f>
        <v>8319.418358174813</v>
      </c>
      <c r="D41" s="19">
        <f>'Coûts &amp; variables'!$B$119+0.013*CA!F126</f>
        <v>2462.2399808800001</v>
      </c>
      <c r="E41" s="19">
        <f>'Coûts &amp; variables'!$B$102</f>
        <v>11620</v>
      </c>
      <c r="F41" s="19">
        <f>Hypothèses!$C$12</f>
        <v>3600</v>
      </c>
      <c r="G41" s="19">
        <f t="shared" si="27"/>
        <v>5459.5206511865363</v>
      </c>
      <c r="H41" s="19">
        <v>2745.4080581976882</v>
      </c>
      <c r="I41" s="19">
        <f>IF(G41-J41-('Coûts &amp; variables'!$G$134)&lt;=0,0,(G41-J41-('Coûts &amp; variables'!$G$134))*0.25)</f>
        <v>984.95920158284343</v>
      </c>
      <c r="J41" s="19">
        <f>'Coûts &amp; variables'!C150</f>
        <v>265.31876549008263</v>
      </c>
      <c r="K41" s="19">
        <f>'Coûts &amp; variables'!D150</f>
        <v>964.87380479397439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f t="shared" si="28"/>
        <v>498.96082112194767</v>
      </c>
      <c r="R41" s="19">
        <f t="shared" si="29"/>
        <v>90084.531117631326</v>
      </c>
      <c r="S41" s="8"/>
      <c r="U41" s="158"/>
      <c r="V41" s="159"/>
    </row>
    <row r="42" spans="1:22" ht="22" customHeight="1" x14ac:dyDescent="0.2">
      <c r="A42" s="77" t="s">
        <v>239</v>
      </c>
      <c r="B42" s="78">
        <f>CA!F83</f>
        <v>22458.054339776059</v>
      </c>
      <c r="C42" s="19">
        <f>'Coûts &amp; variables'!K57</f>
        <v>6094.4096461394984</v>
      </c>
      <c r="D42" s="19">
        <f>'Coûts &amp; variables'!$C$119+0.013*CA!F127</f>
        <v>2767.6063800960001</v>
      </c>
      <c r="E42" s="19">
        <f>'Coûts &amp; variables'!$C$102</f>
        <v>20466.100000000002</v>
      </c>
      <c r="F42" s="19">
        <f>Hypothèses!$C$13</f>
        <v>12205.5</v>
      </c>
      <c r="G42" s="19">
        <f t="shared" si="27"/>
        <v>-6870.0616864594413</v>
      </c>
      <c r="H42" s="19">
        <v>2011.1551832260345</v>
      </c>
      <c r="I42" s="19">
        <f>IF(G42-J42-('Coûts &amp; variables'!$H$134)&lt;=0,0,(G42-J42-('Coûts &amp; variables'!$H$134))*0.25)</f>
        <v>0</v>
      </c>
      <c r="J42" s="19">
        <f>'Coûts &amp; variables'!C151</f>
        <v>262.10251947410273</v>
      </c>
      <c r="K42" s="19">
        <f>'Coûts &amp; variables'!D151</f>
        <v>968.09005080995416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f t="shared" si="28"/>
        <v>-10111.409439969533</v>
      </c>
      <c r="R42" s="19">
        <f t="shared" si="29"/>
        <v>79973.121677661795</v>
      </c>
      <c r="S42" s="8"/>
      <c r="U42" s="158"/>
      <c r="V42" s="159"/>
    </row>
    <row r="43" spans="1:22" ht="22" customHeight="1" x14ac:dyDescent="0.2">
      <c r="A43" s="77" t="s">
        <v>240</v>
      </c>
      <c r="B43" s="78">
        <f>CA!F84</f>
        <v>24693.679082617044</v>
      </c>
      <c r="C43" s="19">
        <f>'Coûts &amp; variables'!K58</f>
        <v>6701.0878913598308</v>
      </c>
      <c r="D43" s="19">
        <f>'Coûts &amp; variables'!$C$119+0.013*CA!F128</f>
        <v>2799.7207740960002</v>
      </c>
      <c r="E43" s="19">
        <f>'Coûts &amp; variables'!$C$102</f>
        <v>20466.100000000002</v>
      </c>
      <c r="F43" s="19">
        <f>Hypothèses!$C$13</f>
        <v>12205.5</v>
      </c>
      <c r="G43" s="19">
        <f t="shared" si="27"/>
        <v>-5273.2295828387905</v>
      </c>
      <c r="H43" s="19">
        <v>2211.3590041487441</v>
      </c>
      <c r="I43" s="19">
        <f>IF(G43-J43-('Coûts &amp; variables'!$H$134)&lt;=0,0,(G43-J43-('Coûts &amp; variables'!$H$134))*0.25)</f>
        <v>0</v>
      </c>
      <c r="J43" s="19">
        <f>'Coûts &amp; variables'!C152</f>
        <v>258.87555263806956</v>
      </c>
      <c r="K43" s="19">
        <f>'Coûts &amp; variables'!D152</f>
        <v>971.31701764598733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f t="shared" si="28"/>
        <v>-8714.7811572715909</v>
      </c>
      <c r="R43" s="19">
        <f t="shared" si="29"/>
        <v>71258.340520390208</v>
      </c>
      <c r="S43" s="8"/>
      <c r="U43" s="158"/>
      <c r="V43" s="159"/>
    </row>
    <row r="44" spans="1:22" ht="22" customHeight="1" x14ac:dyDescent="0.2">
      <c r="A44" s="77" t="s">
        <v>241</v>
      </c>
      <c r="B44" s="78">
        <f>CA!F85</f>
        <v>28340.842893860994</v>
      </c>
      <c r="C44" s="19">
        <f>'Coûts &amp; variables'!K59</f>
        <v>7690.8134471008134</v>
      </c>
      <c r="D44" s="19">
        <f>'Coûts &amp; variables'!$C$119+0.013*CA!F129</f>
        <v>2852.1117024</v>
      </c>
      <c r="E44" s="19">
        <f>'Coûts &amp; variables'!$C$102</f>
        <v>20466.100000000002</v>
      </c>
      <c r="F44" s="19">
        <f>Hypothèses!$C$13</f>
        <v>12205.5</v>
      </c>
      <c r="G44" s="19">
        <f t="shared" si="27"/>
        <v>-2668.1822556398206</v>
      </c>
      <c r="H44" s="19">
        <v>2537.9684375432685</v>
      </c>
      <c r="I44" s="19">
        <f>IF(G44-J44-('Coûts &amp; variables'!$H$134)&lt;=0,0,(G44-J44-('Coûts &amp; variables'!$H$134))*0.25)</f>
        <v>0</v>
      </c>
      <c r="J44" s="19">
        <f>'Coûts &amp; variables'!C153</f>
        <v>255.63782924591629</v>
      </c>
      <c r="K44" s="19">
        <f>'Coûts &amp; variables'!D153</f>
        <v>974.55474103814072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f t="shared" si="28"/>
        <v>-6436.3432634671462</v>
      </c>
      <c r="R44" s="19">
        <f t="shared" si="29"/>
        <v>64821.997256923059</v>
      </c>
      <c r="S44" s="8"/>
      <c r="U44" s="158"/>
      <c r="V44" s="159"/>
    </row>
    <row r="45" spans="1:22" ht="22" customHeight="1" x14ac:dyDescent="0.2">
      <c r="A45" s="77" t="s">
        <v>242</v>
      </c>
      <c r="B45" s="78">
        <f>CA!F86</f>
        <v>30756.693385201768</v>
      </c>
      <c r="C45" s="19">
        <f>'Coûts &amp; variables'!K60</f>
        <v>8346.3992923973674</v>
      </c>
      <c r="D45" s="19">
        <f>'Coûts &amp; variables'!$C$119+0.013*CA!F130</f>
        <v>2886.815010624</v>
      </c>
      <c r="E45" s="19">
        <f>'Coûts &amp; variables'!$C$102</f>
        <v>20466.100000000002</v>
      </c>
      <c r="F45" s="19">
        <f>Hypothèses!$C$13</f>
        <v>12205.5</v>
      </c>
      <c r="G45" s="19">
        <f t="shared" si="27"/>
        <v>-942.62091781960135</v>
      </c>
      <c r="H45" s="19">
        <v>2754.3117664911315</v>
      </c>
      <c r="I45" s="19">
        <f>IF(G45-J45-('Coûts &amp; variables'!$H$134)&lt;=0,0,(G45-J45-('Coûts &amp; variables'!$H$134))*0.25)</f>
        <v>0</v>
      </c>
      <c r="J45" s="19">
        <f>'Coûts &amp; variables'!C154</f>
        <v>252.3893134424558</v>
      </c>
      <c r="K45" s="19">
        <f>'Coûts &amp; variables'!D154</f>
        <v>977.80325684160118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f t="shared" si="28"/>
        <v>-4927.12525459479</v>
      </c>
      <c r="R45" s="19">
        <f t="shared" si="29"/>
        <v>59894.872002328266</v>
      </c>
      <c r="S45" s="8"/>
      <c r="U45" s="158"/>
      <c r="V45" s="159"/>
    </row>
    <row r="46" spans="1:22" ht="22" customHeight="1" x14ac:dyDescent="0.2">
      <c r="A46" s="77" t="s">
        <v>243</v>
      </c>
      <c r="B46" s="78">
        <f>CA!F87</f>
        <v>33346.578664216009</v>
      </c>
      <c r="C46" s="19">
        <f>'Coûts &amp; variables'!K61</f>
        <v>9049.212705706459</v>
      </c>
      <c r="D46" s="19">
        <f>'Coûts &amp; variables'!$C$119+0.013*CA!F131</f>
        <v>2924.0183009040002</v>
      </c>
      <c r="E46" s="19">
        <f>'Coûts &amp; variables'!$C$102</f>
        <v>20466.100000000002</v>
      </c>
      <c r="F46" s="19">
        <f>Hypothèses!$C$13</f>
        <v>12205.5</v>
      </c>
      <c r="G46" s="19">
        <f t="shared" si="27"/>
        <v>907.24765760554965</v>
      </c>
      <c r="H46" s="19">
        <v>2986.2401928831318</v>
      </c>
      <c r="I46" s="19">
        <f>IF(G46-J46-('Coûts &amp; variables'!$H$134)&lt;=0,0,(G46-J46-('Coûts &amp; variables'!$H$134))*0.25)</f>
        <v>0</v>
      </c>
      <c r="J46" s="19">
        <f>'Coûts &amp; variables'!C155</f>
        <v>249.12996925298384</v>
      </c>
      <c r="K46" s="19">
        <f>'Coûts &amp; variables'!D155</f>
        <v>981.06260103107309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f t="shared" si="28"/>
        <v>-3309.1851055616389</v>
      </c>
      <c r="R46" s="19">
        <f t="shared" si="29"/>
        <v>56585.686896766623</v>
      </c>
      <c r="S46" s="8"/>
      <c r="U46" s="158"/>
      <c r="V46" s="159"/>
    </row>
    <row r="47" spans="1:22" ht="22" customHeight="1" x14ac:dyDescent="0.2">
      <c r="A47" s="77" t="s">
        <v>244</v>
      </c>
      <c r="B47" s="78">
        <f>CA!F88</f>
        <v>32911.147752764213</v>
      </c>
      <c r="C47" s="19">
        <f>'Coûts &amp; variables'!K62</f>
        <v>8931.0504505604695</v>
      </c>
      <c r="D47" s="19">
        <f>'Coûts &amp; variables'!$C$119+0.013*CA!F132</f>
        <v>2917.7634050880001</v>
      </c>
      <c r="E47" s="19">
        <f>'Coûts &amp; variables'!$C$102</f>
        <v>20466.100000000002</v>
      </c>
      <c r="F47" s="19">
        <f>Hypothèses!$C$13</f>
        <v>12205.5</v>
      </c>
      <c r="G47" s="19">
        <f t="shared" si="27"/>
        <v>596.233897115741</v>
      </c>
      <c r="H47" s="19">
        <v>2947.2466486849553</v>
      </c>
      <c r="I47" s="19">
        <f>IF(G47-J47-('Coûts &amp; variables'!$H$134)&lt;=0,0,(G47-J47-('Coûts &amp; variables'!$H$134))*0.25)</f>
        <v>0</v>
      </c>
      <c r="J47" s="19">
        <f>'Coûts &amp; variables'!C156</f>
        <v>245.85976058288028</v>
      </c>
      <c r="K47" s="19">
        <f>'Coûts &amp; variables'!D156</f>
        <v>984.33280970117664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f t="shared" si="28"/>
        <v>-3581.2053218532715</v>
      </c>
      <c r="R47" s="19">
        <f t="shared" si="29"/>
        <v>53004.481574913349</v>
      </c>
      <c r="S47" s="8"/>
      <c r="U47" s="158"/>
      <c r="V47" s="159"/>
    </row>
    <row r="48" spans="1:22" ht="22" customHeight="1" x14ac:dyDescent="0.2">
      <c r="A48" s="77" t="s">
        <v>245</v>
      </c>
      <c r="B48" s="78">
        <f>CA!F89</f>
        <v>27663.964510182377</v>
      </c>
      <c r="C48" s="19">
        <f>'Coûts &amp; variables'!K63</f>
        <v>7507.1299414710265</v>
      </c>
      <c r="D48" s="19">
        <f>'Coûts &amp; variables'!$C$119+0.013*CA!F133</f>
        <v>2842.3884520319998</v>
      </c>
      <c r="E48" s="19">
        <f>'Coûts &amp; variables'!$C$102</f>
        <v>20466.100000000002</v>
      </c>
      <c r="F48" s="19">
        <f>Hypothèses!$C$13</f>
        <v>12205.5</v>
      </c>
      <c r="G48" s="19">
        <f t="shared" si="27"/>
        <v>-3151.6538833206514</v>
      </c>
      <c r="H48" s="19">
        <v>2477.3528806854388</v>
      </c>
      <c r="I48" s="19">
        <f>IF(G48-J48-('Coûts &amp; variables'!$H$134)&lt;=0,0,(G48-J48-('Coûts &amp; variables'!$H$134))*0.25)</f>
        <v>0</v>
      </c>
      <c r="J48" s="19">
        <f>'Coûts &amp; variables'!C157</f>
        <v>242.57865121720965</v>
      </c>
      <c r="K48" s="19">
        <f>'Coûts &amp; variables'!D157</f>
        <v>987.6139190668473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f t="shared" si="28"/>
        <v>-6859.1993342901469</v>
      </c>
      <c r="R48" s="19">
        <f t="shared" si="29"/>
        <v>46145.282240623201</v>
      </c>
      <c r="S48" s="8"/>
      <c r="U48" s="158"/>
      <c r="V48" s="159"/>
    </row>
    <row r="49" spans="1:22" ht="22" customHeight="1" x14ac:dyDescent="0.2">
      <c r="A49" s="77" t="s">
        <v>246</v>
      </c>
      <c r="B49" s="78">
        <f>CA!F90</f>
        <v>24947.508476496521</v>
      </c>
      <c r="C49" s="19">
        <f>'Coûts &amp; variables'!K64</f>
        <v>6769.9692059709996</v>
      </c>
      <c r="D49" s="19">
        <f>'Coûts &amp; variables'!$C$119+0.013*CA!F134</f>
        <v>2803.3669929839998</v>
      </c>
      <c r="E49" s="19">
        <f>'Coûts &amp; variables'!$C$102</f>
        <v>20466.100000000002</v>
      </c>
      <c r="F49" s="19">
        <f>Hypothèses!$C$13</f>
        <v>12205.5</v>
      </c>
      <c r="G49" s="19">
        <f t="shared" si="27"/>
        <v>-5091.9277224584803</v>
      </c>
      <c r="H49" s="19">
        <v>2234.0898379704299</v>
      </c>
      <c r="I49" s="19">
        <f>IF(G49-J49-('Coûts &amp; variables'!$H$134)&lt;=0,0,(G49-J49-('Coûts &amp; variables'!$H$134))*0.25)</f>
        <v>0</v>
      </c>
      <c r="J49" s="19">
        <f>'Coûts &amp; variables'!C158</f>
        <v>239.28660482032018</v>
      </c>
      <c r="K49" s="19">
        <f>'Coûts &amp; variables'!D158</f>
        <v>990.90596546373672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f t="shared" si="28"/>
        <v>-8556.2101307129669</v>
      </c>
      <c r="R49" s="19">
        <f t="shared" si="29"/>
        <v>37589.072109910237</v>
      </c>
      <c r="S49" s="8"/>
      <c r="U49" s="158"/>
      <c r="V49" s="159"/>
    </row>
    <row r="50" spans="1:22" ht="22" customHeight="1" x14ac:dyDescent="0.2">
      <c r="A50" s="77" t="s">
        <v>247</v>
      </c>
      <c r="B50" s="78">
        <f>CA!F91</f>
        <v>34434.124116041108</v>
      </c>
      <c r="C50" s="19">
        <f>'Coûts &amp; variables'!K65</f>
        <v>9344.3383382274878</v>
      </c>
      <c r="D50" s="19">
        <f>'Coûts &amp; variables'!$C$119+0.013*CA!F135</f>
        <v>2939.6407184159998</v>
      </c>
      <c r="E50" s="19">
        <f>'Coûts &amp; variables'!$C$102</f>
        <v>20466.100000000002</v>
      </c>
      <c r="F50" s="19">
        <f>Hypothèses!$C$13</f>
        <v>12205.5</v>
      </c>
      <c r="G50" s="19">
        <f t="shared" si="27"/>
        <v>1684.0450593976184</v>
      </c>
      <c r="H50" s="19">
        <v>3083.631651615071</v>
      </c>
      <c r="I50" s="19">
        <f>IF(G50-J50-('Coûts &amp; variables'!$H$134)&lt;=0,0,(G50-J50-('Coûts &amp; variables'!$H$134))*0.25)</f>
        <v>149.12036861554435</v>
      </c>
      <c r="J50" s="19">
        <f>'Coûts &amp; variables'!C159</f>
        <v>235.98358493544106</v>
      </c>
      <c r="K50" s="19">
        <f>'Coûts &amp; variables'!D159</f>
        <v>994.2089853486159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f t="shared" si="28"/>
        <v>-2778.8995311170538</v>
      </c>
      <c r="R50" s="19">
        <f t="shared" si="29"/>
        <v>34810.172578793186</v>
      </c>
      <c r="S50" s="8"/>
      <c r="U50" s="158"/>
      <c r="V50" s="159"/>
    </row>
    <row r="51" spans="1:22" ht="22" customHeight="1" x14ac:dyDescent="0.2">
      <c r="A51" s="77" t="s">
        <v>248</v>
      </c>
      <c r="B51" s="78">
        <f>CA!F92</f>
        <v>37145.764957973151</v>
      </c>
      <c r="C51" s="19">
        <f>'Coûts &amp; variables'!K66</f>
        <v>10080.192382122425</v>
      </c>
      <c r="D51" s="19">
        <f>'Coûts &amp; variables'!$C$119+0.013*CA!F136</f>
        <v>2978.5930079999998</v>
      </c>
      <c r="E51" s="19">
        <f>'Coûts &amp; variables'!$C$102</f>
        <v>20466.100000000002</v>
      </c>
      <c r="F51" s="19">
        <f>Hypothèses!$C$13</f>
        <v>12205.5</v>
      </c>
      <c r="G51" s="19">
        <f t="shared" si="27"/>
        <v>3620.8795678507231</v>
      </c>
      <c r="H51" s="19">
        <v>3326.4634861004001</v>
      </c>
      <c r="I51" s="19">
        <f>IF(G51-J51-('Coûts &amp; variables'!$H$134)&lt;=0,0,(G51-J51-('Coûts &amp; variables'!$H$134))*0.25)</f>
        <v>634.15750321661108</v>
      </c>
      <c r="J51" s="19">
        <f>'Coûts &amp; variables'!C160</f>
        <v>232.66955498427902</v>
      </c>
      <c r="K51" s="19">
        <f>'Coûts &amp; variables'!D160</f>
        <v>997.52301529977797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f t="shared" si="28"/>
        <v>-1569.9339917503451</v>
      </c>
      <c r="R51" s="19">
        <f t="shared" si="29"/>
        <v>33240.238587042841</v>
      </c>
      <c r="S51" s="8"/>
      <c r="U51" s="158"/>
      <c r="V51" s="159"/>
    </row>
    <row r="52" spans="1:22" ht="22" customHeight="1" x14ac:dyDescent="0.2">
      <c r="A52" s="77" t="s">
        <v>249</v>
      </c>
      <c r="B52" s="78">
        <f>CA!F93</f>
        <v>32882.256602241338</v>
      </c>
      <c r="C52" s="19">
        <f>'Coûts &amp; variables'!K67</f>
        <v>8923.2103009299299</v>
      </c>
      <c r="D52" s="19">
        <f>'Coûts &amp; variables'!$C$119+0.013*CA!F137</f>
        <v>2917.3483883039999</v>
      </c>
      <c r="E52" s="19">
        <f>'Coûts &amp; variables'!$C$102</f>
        <v>20466.100000000002</v>
      </c>
      <c r="F52" s="19">
        <f>Hypothèses!$C$13</f>
        <v>12205.5</v>
      </c>
      <c r="G52" s="19">
        <f t="shared" si="27"/>
        <v>575.5979130074038</v>
      </c>
      <c r="H52" s="19">
        <v>2944.6593993068768</v>
      </c>
      <c r="I52" s="19">
        <f>IF(G52-J52-('Coûts &amp; variables'!$H$134)&lt;=0,0,(G52-J52-('Coûts &amp; variables'!$H$134))*0.25)</f>
        <v>0</v>
      </c>
      <c r="J52" s="19">
        <f>'Coûts &amp; variables'!C161</f>
        <v>229.34447826661307</v>
      </c>
      <c r="K52" s="19">
        <f>'Coûts &amp; variables'!D161</f>
        <v>1000.8480920174438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f t="shared" si="28"/>
        <v>-3599.2540565835297</v>
      </c>
      <c r="R52" s="19">
        <f t="shared" si="29"/>
        <v>29640.984530459311</v>
      </c>
      <c r="S52" s="8"/>
      <c r="U52" s="158"/>
      <c r="V52" s="159"/>
    </row>
    <row r="53" spans="1:22" ht="22" customHeight="1" x14ac:dyDescent="0.2">
      <c r="A53" s="77" t="s">
        <v>250</v>
      </c>
      <c r="B53" s="78">
        <f>CA!F94</f>
        <v>42939.128522344443</v>
      </c>
      <c r="C53" s="19">
        <f>'Coûts &amp; variables'!K68</f>
        <v>11652.329053274927</v>
      </c>
      <c r="D53" s="19">
        <f>'Coûts &amp; variables'!$C$119+0.013*CA!F138</f>
        <v>3061.8137545439999</v>
      </c>
      <c r="E53" s="19">
        <f>'Coûts &amp; variables'!$C$102</f>
        <v>20466.100000000002</v>
      </c>
      <c r="F53" s="19">
        <f>Hypothèses!$C$13</f>
        <v>12205.5</v>
      </c>
      <c r="G53" s="19">
        <f t="shared" si="27"/>
        <v>7758.8857145255133</v>
      </c>
      <c r="H53" s="19">
        <v>3845.268587580726</v>
      </c>
      <c r="I53" s="19">
        <f>IF(G53-J53-('Coûts &amp; variables'!$H$134)&lt;=0,0,(G53-J53-('Coûts &amp; variables'!$H$134))*0.25)</f>
        <v>1670.3243491414064</v>
      </c>
      <c r="J53" s="19">
        <f>'Coûts &amp; variables'!C162</f>
        <v>226.00831795988825</v>
      </c>
      <c r="K53" s="19">
        <f>'Coûts &amp; variables'!D162</f>
        <v>1004.1842523241687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f t="shared" si="28"/>
        <v>1013.1002075193239</v>
      </c>
      <c r="R53" s="19">
        <f t="shared" si="29"/>
        <v>30654.084737978636</v>
      </c>
      <c r="S53" s="8"/>
      <c r="U53" s="158"/>
      <c r="V53" s="159"/>
    </row>
    <row r="54" spans="1:22" ht="22" customHeight="1" x14ac:dyDescent="0.2">
      <c r="A54" s="77" t="s">
        <v>251</v>
      </c>
      <c r="B54" s="78">
        <f>CA!F95</f>
        <v>34293.412653499538</v>
      </c>
      <c r="C54" s="19">
        <f>'Coûts &amp; variables'!K69</f>
        <v>8875.2069242397174</v>
      </c>
      <c r="D54" s="19">
        <f>'Coûts &amp; variables'!$D$119+0.013*CA!F139</f>
        <v>3269.6032360320005</v>
      </c>
      <c r="E54" s="19">
        <f>'Coûts &amp; variables'!$D$102</f>
        <v>24421.918000000005</v>
      </c>
      <c r="F54" s="19">
        <f>Hypothèses!$C$14</f>
        <v>15913.5</v>
      </c>
      <c r="G54" s="19">
        <f t="shared" si="27"/>
        <v>-2273.3155067721873</v>
      </c>
      <c r="H54" s="19">
        <v>2928.8182849991067</v>
      </c>
      <c r="I54" s="19">
        <f>IF(G54-J54-('Coûts &amp; variables'!$I$134)&lt;=0,0,(G54-J54-('Coûts &amp; variables'!$I$134))*0.25)</f>
        <v>0</v>
      </c>
      <c r="J54" s="19">
        <f>'Coûts &amp; variables'!C163</f>
        <v>222.66103711880768</v>
      </c>
      <c r="K54" s="19">
        <f>'Coûts &amp; variables'!D163</f>
        <v>1007.5315331652492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f t="shared" si="28"/>
        <v>-6432.3263620553507</v>
      </c>
      <c r="R54" s="19">
        <f t="shared" si="29"/>
        <v>24221.758375923284</v>
      </c>
      <c r="S54" s="8"/>
      <c r="U54" s="158"/>
      <c r="V54" s="159"/>
    </row>
    <row r="55" spans="1:22" ht="22" customHeight="1" x14ac:dyDescent="0.2">
      <c r="A55" s="77" t="s">
        <v>252</v>
      </c>
      <c r="B55" s="78">
        <f>CA!F96</f>
        <v>37176.315688597228</v>
      </c>
      <c r="C55" s="19">
        <f>'Coûts &amp; variables'!K70</f>
        <v>9621.3082597216981</v>
      </c>
      <c r="D55" s="19">
        <f>'Coûts &amp; variables'!$D$119+0.013*CA!F140</f>
        <v>3309.8079750480001</v>
      </c>
      <c r="E55" s="19">
        <f>'Coûts &amp; variables'!$D$102</f>
        <v>24421.918000000005</v>
      </c>
      <c r="F55" s="19">
        <f>Hypothèses!$C$14</f>
        <v>15913.5</v>
      </c>
      <c r="G55" s="19">
        <f t="shared" si="27"/>
        <v>-176.71854617247755</v>
      </c>
      <c r="H55" s="19">
        <v>3175.0317257081606</v>
      </c>
      <c r="I55" s="19">
        <f>IF(G55-J55-('Coûts &amp; variables'!$I$134)&lt;=0,0,(G55-J55-('Coûts &amp; variables'!$I$134))*0.25)</f>
        <v>0</v>
      </c>
      <c r="J55" s="19">
        <f>'Coûts &amp; variables'!C164</f>
        <v>219.3025986749235</v>
      </c>
      <c r="K55" s="19">
        <f>'Coûts &amp; variables'!D164</f>
        <v>1010.8899716091335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f t="shared" si="28"/>
        <v>-4581.9428421646953</v>
      </c>
      <c r="R55" s="19">
        <f t="shared" si="29"/>
        <v>19639.815533758589</v>
      </c>
      <c r="S55" s="8"/>
      <c r="U55" s="158"/>
      <c r="V55" s="159"/>
    </row>
    <row r="56" spans="1:22" ht="22" customHeight="1" x14ac:dyDescent="0.2">
      <c r="A56" s="77" t="s">
        <v>253</v>
      </c>
      <c r="B56" s="78">
        <f>CA!F97</f>
        <v>42208.657257455809</v>
      </c>
      <c r="C56" s="19">
        <f>'Coûts &amp; variables'!K71</f>
        <v>10923.688783595146</v>
      </c>
      <c r="D56" s="19">
        <f>'Coûts &amp; variables'!$D$119+0.013*CA!F141</f>
        <v>3379.9886148240003</v>
      </c>
      <c r="E56" s="19">
        <f>'Coûts &amp; variables'!$D$102</f>
        <v>24421.918000000005</v>
      </c>
      <c r="F56" s="19">
        <f>Hypothèses!$C$14</f>
        <v>15913.5</v>
      </c>
      <c r="G56" s="19">
        <f t="shared" si="27"/>
        <v>3483.0618590366576</v>
      </c>
      <c r="H56" s="19">
        <v>3604.817298586398</v>
      </c>
      <c r="I56" s="19">
        <f>IF(G56-J56-('Coûts &amp; variables'!$I$134)&lt;=0,0,(G56-J56-('Coûts &amp; variables'!$I$134))*0.25)</f>
        <v>614.30472340010783</v>
      </c>
      <c r="J56" s="19">
        <f>'Coûts &amp; variables'!C165</f>
        <v>215.9329654362264</v>
      </c>
      <c r="K56" s="19">
        <f>'Coûts &amp; variables'!D165</f>
        <v>1014.2596048478306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f t="shared" si="28"/>
        <v>-1966.2527332339052</v>
      </c>
      <c r="R56" s="19">
        <f t="shared" si="29"/>
        <v>17673.562800524684</v>
      </c>
      <c r="S56" s="8"/>
      <c r="U56" s="158"/>
      <c r="V56" s="159"/>
    </row>
    <row r="57" spans="1:22" ht="22" customHeight="1" x14ac:dyDescent="0.2">
      <c r="A57" s="77" t="s">
        <v>254</v>
      </c>
      <c r="B57" s="78">
        <f>CA!F98</f>
        <v>45420.25573444413</v>
      </c>
      <c r="C57" s="19">
        <f>'Coûts &amp; variables'!K72</f>
        <v>11754.857186951347</v>
      </c>
      <c r="D57" s="19">
        <f>'Coûts &amp; variables'!$D$119+0.013*CA!F142</f>
        <v>3424.7773146240002</v>
      </c>
      <c r="E57" s="19">
        <f>'Coûts &amp; variables'!$D$102</f>
        <v>24421.918000000005</v>
      </c>
      <c r="F57" s="19">
        <f>Hypothèses!$C$14</f>
        <v>15913.5</v>
      </c>
      <c r="G57" s="19">
        <f t="shared" si="27"/>
        <v>5818.7032328687783</v>
      </c>
      <c r="H57" s="19">
        <v>3879.1028716939445</v>
      </c>
      <c r="I57" s="19">
        <f>IF(G57-J57-('Coûts &amp; variables'!$I$134)&lt;=0,0,(G57-J57-('Coûts &amp; variables'!$I$134))*0.25)</f>
        <v>1199.0602831955111</v>
      </c>
      <c r="J57" s="19">
        <f>'Coûts &amp; variables'!C166</f>
        <v>212.55210008673365</v>
      </c>
      <c r="K57" s="19">
        <f>'Coûts &amp; variables'!D166</f>
        <v>1017.6404701973233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f t="shared" si="28"/>
        <v>-489.65249230473432</v>
      </c>
      <c r="R57" s="19">
        <f t="shared" si="29"/>
        <v>17183.910308219951</v>
      </c>
      <c r="S57" s="8"/>
      <c r="U57" s="158"/>
      <c r="V57" s="159"/>
    </row>
    <row r="58" spans="1:22" ht="22" customHeight="1" x14ac:dyDescent="0.2">
      <c r="A58" s="77" t="s">
        <v>255</v>
      </c>
      <c r="B58" s="78">
        <f>CA!F99</f>
        <v>48658.408210013149</v>
      </c>
      <c r="C58" s="19">
        <f>'Coûts &amp; variables'!K73</f>
        <v>12592.897820681665</v>
      </c>
      <c r="D58" s="19">
        <f>'Coûts &amp; variables'!$D$119+0.013*CA!F143</f>
        <v>3469.9363344000003</v>
      </c>
      <c r="E58" s="19">
        <f>'Coûts &amp; variables'!$D$102</f>
        <v>24421.918000000005</v>
      </c>
      <c r="F58" s="19">
        <f>Hypothèses!$C$14</f>
        <v>15913.5</v>
      </c>
      <c r="G58" s="19">
        <f t="shared" si="27"/>
        <v>8173.6560549314754</v>
      </c>
      <c r="H58" s="19">
        <v>4155.6562808249491</v>
      </c>
      <c r="I58" s="19">
        <f>IF(G58-J58-('Coûts &amp; variables'!$I$134)&lt;=0,0,(G58-J58-('Coûts &amp; variables'!$I$134))*0.25)</f>
        <v>1788.6465224363499</v>
      </c>
      <c r="J58" s="19">
        <f>'Coûts &amp; variables'!C167</f>
        <v>209.15996518607591</v>
      </c>
      <c r="K58" s="19">
        <f>'Coûts &amp; variables'!D167</f>
        <v>1021.0326050979811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f t="shared" si="28"/>
        <v>999.16068138611922</v>
      </c>
      <c r="R58" s="19">
        <f t="shared" si="29"/>
        <v>18183.070989606069</v>
      </c>
      <c r="S58" s="8"/>
      <c r="U58" s="158"/>
      <c r="V58" s="159"/>
    </row>
    <row r="59" spans="1:22" ht="22" customHeight="1" x14ac:dyDescent="0.2">
      <c r="A59" s="77" t="s">
        <v>256</v>
      </c>
      <c r="B59" s="78">
        <f>CA!F100</f>
        <v>47590.506861687209</v>
      </c>
      <c r="C59" s="19">
        <f>'Coûts &amp; variables'!K74</f>
        <v>12316.522718068478</v>
      </c>
      <c r="D59" s="19">
        <f>'Coûts &amp; variables'!$D$119+0.013*CA!F144</f>
        <v>3455.0434661760005</v>
      </c>
      <c r="E59" s="19">
        <f>'Coûts &amp; variables'!$D$102</f>
        <v>24421.918000000005</v>
      </c>
      <c r="F59" s="19">
        <f>Hypothèses!$C$14</f>
        <v>15913.5</v>
      </c>
      <c r="G59" s="19">
        <f t="shared" si="27"/>
        <v>7397.022677442721</v>
      </c>
      <c r="H59" s="19">
        <v>4064.4524969625977</v>
      </c>
      <c r="I59" s="19">
        <f>IF(G59-J59-('Coûts &amp; variables'!$I$134)&lt;=0,0,(G59-J59-('Coûts &amp; variables'!$I$134))*0.25)</f>
        <v>1595.3390385684097</v>
      </c>
      <c r="J59" s="19">
        <f>'Coûts &amp; variables'!C168</f>
        <v>205.75652316908264</v>
      </c>
      <c r="K59" s="19">
        <f>'Coûts &amp; variables'!D168</f>
        <v>1024.4360471149744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f t="shared" si="28"/>
        <v>507.03857162765667</v>
      </c>
      <c r="R59" s="19">
        <f t="shared" si="29"/>
        <v>18690.109561233727</v>
      </c>
      <c r="S59" s="8"/>
      <c r="U59" s="158"/>
      <c r="V59" s="159"/>
    </row>
    <row r="60" spans="1:22" ht="22" customHeight="1" x14ac:dyDescent="0.2">
      <c r="A60" s="77" t="s">
        <v>257</v>
      </c>
      <c r="B60" s="78">
        <f>CA!F101</f>
        <v>39724.781876705725</v>
      </c>
      <c r="C60" s="19">
        <f>'Coûts &amp; variables'!K75</f>
        <v>10280.856639680998</v>
      </c>
      <c r="D60" s="19">
        <f>'Coûts &amp; variables'!$D$119+0.013*CA!F145</f>
        <v>3345.3486840960004</v>
      </c>
      <c r="E60" s="19">
        <f>'Coûts &amp; variables'!$D$102</f>
        <v>24421.918000000005</v>
      </c>
      <c r="F60" s="19">
        <f>Hypothèses!$C$14</f>
        <v>15913.5</v>
      </c>
      <c r="G60" s="19">
        <f t="shared" si="27"/>
        <v>1676.6585529287213</v>
      </c>
      <c r="H60" s="19">
        <v>3392.6826910947298</v>
      </c>
      <c r="I60" s="19">
        <f>IF(G60-J60-('Coûts &amp; variables'!$I$134)&lt;=0,0,(G60-J60-('Coûts &amp; variables'!$I$134))*0.25)</f>
        <v>166.10170414583877</v>
      </c>
      <c r="J60" s="19">
        <f>'Coûts &amp; variables'!C169</f>
        <v>202.34173634536606</v>
      </c>
      <c r="K60" s="19">
        <f>'Coûts &amp; variables'!D169</f>
        <v>1027.8508339386908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f t="shared" si="28"/>
        <v>-3112.3184125959042</v>
      </c>
      <c r="R60" s="19">
        <f t="shared" si="29"/>
        <v>15577.791148637822</v>
      </c>
      <c r="S60" s="8"/>
      <c r="U60" s="158"/>
      <c r="V60" s="159"/>
    </row>
    <row r="61" spans="1:22" ht="22" customHeight="1" x14ac:dyDescent="0.2">
      <c r="A61" s="77" t="s">
        <v>258</v>
      </c>
      <c r="B61" s="78">
        <f>CA!F102</f>
        <v>35532.838479143975</v>
      </c>
      <c r="C61" s="19">
        <f>'Coûts &amp; variables'!K76</f>
        <v>9195.9729203505904</v>
      </c>
      <c r="D61" s="19">
        <f>'Coûts &amp; variables'!$D$119+0.013*CA!F146</f>
        <v>3286.8881711280001</v>
      </c>
      <c r="E61" s="19">
        <f>'Coûts &amp; variables'!$D$102</f>
        <v>24421.918000000005</v>
      </c>
      <c r="F61" s="19">
        <f>Hypothèses!$C$14</f>
        <v>15913.5</v>
      </c>
      <c r="G61" s="19">
        <f t="shared" si="27"/>
        <v>-1371.9406123346225</v>
      </c>
      <c r="H61" s="19">
        <v>3034.6710637156948</v>
      </c>
      <c r="I61" s="19">
        <f>IF(G61-J61-('Coûts &amp; variables'!$I$134)&lt;=0,0,(G61-J61-('Coûts &amp; variables'!$I$134))*0.25)</f>
        <v>0</v>
      </c>
      <c r="J61" s="19">
        <f>'Coûts &amp; variables'!C170</f>
        <v>198.91556689890373</v>
      </c>
      <c r="K61" s="19">
        <f>'Coûts &amp; variables'!D170</f>
        <v>1031.2770033851532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f t="shared" si="28"/>
        <v>-5636.8042463343736</v>
      </c>
      <c r="R61" s="19">
        <f t="shared" si="29"/>
        <v>9940.986902303448</v>
      </c>
      <c r="S61" s="8"/>
      <c r="U61" s="158"/>
      <c r="V61" s="159"/>
    </row>
    <row r="62" spans="1:22" ht="22" customHeight="1" x14ac:dyDescent="0.2">
      <c r="A62" s="77" t="s">
        <v>259</v>
      </c>
      <c r="B62" s="78">
        <f>CA!F103</f>
        <v>48565.828052799421</v>
      </c>
      <c r="C62" s="19">
        <f>'Coûts &amp; variables'!K77</f>
        <v>12568.937882350285</v>
      </c>
      <c r="D62" s="19">
        <f>'Coûts &amp; variables'!$D$119+0.013*CA!F147</f>
        <v>3468.6452188080002</v>
      </c>
      <c r="E62" s="19">
        <f>'Coûts &amp; variables'!$D$102</f>
        <v>24421.918000000005</v>
      </c>
      <c r="F62" s="19">
        <f>Hypothèses!$C$14</f>
        <v>15913.5</v>
      </c>
      <c r="G62" s="19">
        <f t="shared" si="27"/>
        <v>8106.326951641131</v>
      </c>
      <c r="H62" s="19">
        <v>4147.7495011755946</v>
      </c>
      <c r="I62" s="19">
        <f>IF(G62-J62-('Coûts &amp; variables'!$I$134)&lt;=0,0,(G62-J62-('Coûts &amp; variables'!$I$134))*0.25)</f>
        <v>1775.2347436883779</v>
      </c>
      <c r="J62" s="19">
        <f>'Coûts &amp; variables'!C171</f>
        <v>195.47797688761989</v>
      </c>
      <c r="K62" s="19">
        <f>'Coûts &amp; variables'!D171</f>
        <v>1034.7145933964371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f t="shared" si="28"/>
        <v>953.15013649310163</v>
      </c>
      <c r="R62" s="19">
        <f t="shared" si="29"/>
        <v>10894.137038796549</v>
      </c>
      <c r="S62" s="8"/>
      <c r="U62" s="158"/>
      <c r="V62" s="159"/>
    </row>
    <row r="63" spans="1:22" ht="22" customHeight="1" x14ac:dyDescent="0.2">
      <c r="A63" s="77" t="s">
        <v>260</v>
      </c>
      <c r="B63" s="78">
        <f>CA!F104</f>
        <v>52008.518085003445</v>
      </c>
      <c r="C63" s="19">
        <f>'Coûts &amp; variables'!K78</f>
        <v>13459.913263556919</v>
      </c>
      <c r="D63" s="19">
        <f>'Coûts &amp; variables'!$D$119+0.013*CA!F148</f>
        <v>3516.6567032640005</v>
      </c>
      <c r="E63" s="19">
        <f>'Coûts &amp; variables'!$D$102</f>
        <v>24421.918000000005</v>
      </c>
      <c r="F63" s="19">
        <f>Hypothèses!$C$14</f>
        <v>15913.5</v>
      </c>
      <c r="G63" s="19">
        <f t="shared" si="27"/>
        <v>10610.03011818252</v>
      </c>
      <c r="H63" s="19">
        <v>4441.7713769737829</v>
      </c>
      <c r="I63" s="19">
        <f>IF(G63-J63-('Coûts &amp; variables'!$I$134)&lt;=0,0,(G63-J63-('Coûts &amp; variables'!$I$134))*0.25)</f>
        <v>2402.0227974848885</v>
      </c>
      <c r="J63" s="19">
        <f>'Coûts &amp; variables'!C172</f>
        <v>192.02892824296512</v>
      </c>
      <c r="K63" s="19">
        <f>'Coûts &amp; variables'!D172</f>
        <v>1038.1636420410919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f t="shared" si="28"/>
        <v>2536.0433734397911</v>
      </c>
      <c r="R63" s="19">
        <f>R62+Q63</f>
        <v>13430.180412236339</v>
      </c>
      <c r="S63" s="8"/>
      <c r="U63" s="158"/>
      <c r="V63" s="159"/>
    </row>
    <row r="64" spans="1:22" ht="22" customHeight="1" x14ac:dyDescent="0.2">
      <c r="A64" s="77" t="s">
        <v>261</v>
      </c>
      <c r="B64" s="78">
        <f>CA!F105</f>
        <v>45786.270309475214</v>
      </c>
      <c r="C64" s="19">
        <f>'Coûts &amp; variables'!K79</f>
        <v>11849.582524540547</v>
      </c>
      <c r="D64" s="19">
        <f>'Coûts &amp; variables'!$D$119+0.013*CA!F149</f>
        <v>3429.8817251040005</v>
      </c>
      <c r="E64" s="19">
        <f>'Coûts &amp; variables'!$D$102</f>
        <v>24421.918000000005</v>
      </c>
      <c r="F64" s="19">
        <f>Hypothèses!$C$14</f>
        <v>15913.5</v>
      </c>
      <c r="G64" s="19">
        <f t="shared" si="27"/>
        <v>6084.8880598306587</v>
      </c>
      <c r="H64" s="19">
        <v>3910.3622330983808</v>
      </c>
      <c r="I64" s="19">
        <f>IF(G64-J64-('Coûts &amp; variables'!$I$134)&lt;=0,0,(G64-J64-('Coûts &amp; variables'!$I$134))*0.25)</f>
        <v>1271.602419265291</v>
      </c>
      <c r="J64" s="19">
        <f>'Coûts &amp; variables'!C173</f>
        <v>188.5683827694948</v>
      </c>
      <c r="K64" s="19">
        <f>'Coûts &amp; variables'!D173</f>
        <v>1041.6241875145622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f t="shared" si="28"/>
        <v>-327.26916281707008</v>
      </c>
      <c r="R64" s="19">
        <f t="shared" si="29"/>
        <v>13102.911249419269</v>
      </c>
      <c r="S64" s="8"/>
      <c r="U64" s="158"/>
      <c r="V64" s="159"/>
    </row>
    <row r="65" spans="1:22" ht="22" customHeight="1" x14ac:dyDescent="0.2">
      <c r="A65" s="77" t="s">
        <v>227</v>
      </c>
      <c r="B65" s="78">
        <f>CA!F106</f>
        <v>59280.007642287404</v>
      </c>
      <c r="C65" s="19">
        <f>'Coûts &amp; variables'!K80</f>
        <v>15341.789970328991</v>
      </c>
      <c r="D65" s="19">
        <f>'Coûts &amp; variables'!$D$119+0.013*CA!F150</f>
        <v>3618.0643248000006</v>
      </c>
      <c r="E65" s="19">
        <f>'Coûts &amp; variables'!$D$102</f>
        <v>24421.918000000005</v>
      </c>
      <c r="F65" s="19">
        <f>Hypothèses!$C$14</f>
        <v>15913.5</v>
      </c>
      <c r="G65" s="19">
        <f t="shared" si="27"/>
        <v>15898.235347158403</v>
      </c>
      <c r="H65" s="19">
        <v>5062.790690208567</v>
      </c>
      <c r="I65" s="19">
        <f>IF(G65-J65-('Coûts &amp; variables'!$I$134)&lt;=0,0,(G65-J65-('Coûts &amp; variables'!$I$134))*0.25)</f>
        <v>3725.8072612534893</v>
      </c>
      <c r="J65" s="19">
        <f>'Coûts &amp; variables'!C174</f>
        <v>185.09630214444624</v>
      </c>
      <c r="K65" s="19">
        <f>'Coûts &amp; variables'!D174</f>
        <v>1045.0962681396106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f t="shared" si="28"/>
        <v>5879.4448254122908</v>
      </c>
      <c r="R65" s="19">
        <f t="shared" si="29"/>
        <v>18982.356074831558</v>
      </c>
      <c r="S65" s="8"/>
      <c r="U65" s="158"/>
      <c r="V65" s="159"/>
    </row>
    <row r="66" spans="1:22" ht="16" x14ac:dyDescent="0.2"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U66" s="160"/>
      <c r="V66" s="159"/>
    </row>
    <row r="67" spans="1:22" ht="16" x14ac:dyDescent="0.2"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U67" s="160"/>
      <c r="V67" s="159"/>
    </row>
    <row r="68" spans="1:22" ht="16" x14ac:dyDescent="0.2"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U68" s="160"/>
      <c r="V68" s="159"/>
    </row>
    <row r="69" spans="1:22" ht="16" x14ac:dyDescent="0.2">
      <c r="U69" s="160"/>
      <c r="V69" s="159"/>
    </row>
    <row r="70" spans="1:22" ht="16" x14ac:dyDescent="0.2">
      <c r="U70" s="160"/>
      <c r="V70" s="159"/>
    </row>
    <row r="71" spans="1:22" ht="16" x14ac:dyDescent="0.2">
      <c r="U71" s="160"/>
      <c r="V71" s="159"/>
    </row>
    <row r="72" spans="1:22" ht="16" x14ac:dyDescent="0.2">
      <c r="U72" s="160"/>
      <c r="V72" s="159"/>
    </row>
    <row r="73" spans="1:22" ht="16" x14ac:dyDescent="0.2">
      <c r="A73" s="80"/>
      <c r="B73" s="80"/>
      <c r="C73" s="80"/>
      <c r="D73" s="80"/>
      <c r="E73" s="80"/>
      <c r="F73" s="80"/>
      <c r="I73" s="77" t="s">
        <v>127</v>
      </c>
      <c r="J73" s="77" t="s">
        <v>374</v>
      </c>
      <c r="K73" s="77" t="s">
        <v>375</v>
      </c>
      <c r="L73" s="77" t="s">
        <v>376</v>
      </c>
      <c r="M73" s="77" t="s">
        <v>213</v>
      </c>
      <c r="U73" s="160"/>
      <c r="V73" s="159"/>
    </row>
    <row r="74" spans="1:22" ht="16" x14ac:dyDescent="0.2">
      <c r="A74" s="80"/>
      <c r="B74" s="100"/>
      <c r="C74" s="100"/>
      <c r="D74" s="100"/>
      <c r="E74" s="100"/>
      <c r="F74" s="100"/>
      <c r="I74" s="77" t="s">
        <v>371</v>
      </c>
      <c r="J74" s="19">
        <f>CA!B159</f>
        <v>222096.44057194982</v>
      </c>
      <c r="K74" s="19">
        <f>SUM('Résultat exploitation'!M33:M44)</f>
        <v>-31213.481653448463</v>
      </c>
      <c r="L74" s="19">
        <f>SUM('Résultat exploitation'!N33:N44)/12</f>
        <v>-0.18594353990824997</v>
      </c>
      <c r="M74" s="19">
        <f>R41</f>
        <v>90084.531117631326</v>
      </c>
      <c r="U74" s="160"/>
      <c r="V74" s="159"/>
    </row>
    <row r="75" spans="1:22" ht="16" x14ac:dyDescent="0.2">
      <c r="A75" s="101"/>
      <c r="B75" s="100"/>
      <c r="C75" s="100"/>
      <c r="D75" s="100"/>
      <c r="E75" s="100"/>
      <c r="F75" s="100"/>
      <c r="I75" s="74" t="s">
        <v>372</v>
      </c>
      <c r="J75" s="19">
        <f>CA!B160</f>
        <v>411629.76057599997</v>
      </c>
      <c r="K75" s="19">
        <f>SUM('Résultat exploitation'!M45:M56)</f>
        <v>-24457.214596827951</v>
      </c>
      <c r="L75" s="19">
        <f>SUM('Résultat exploitation'!N45:N56)/12</f>
        <v>-8.9213926154092793E-2</v>
      </c>
      <c r="M75" s="19">
        <f>R53</f>
        <v>30654.084737978636</v>
      </c>
      <c r="U75" s="160"/>
      <c r="V75" s="159"/>
    </row>
    <row r="76" spans="1:22" ht="16" x14ac:dyDescent="0.2">
      <c r="A76" s="80"/>
      <c r="B76" s="100"/>
      <c r="C76" s="100"/>
      <c r="D76" s="100"/>
      <c r="E76" s="100"/>
      <c r="F76" s="100"/>
      <c r="I76" s="77" t="s">
        <v>373</v>
      </c>
      <c r="J76" s="19">
        <f>CA!B161</f>
        <v>575264.75140800001</v>
      </c>
      <c r="K76" s="19">
        <f>SUM('Résultat exploitation'!M57:M68)</f>
        <v>36721.774612342873</v>
      </c>
      <c r="L76" s="19">
        <f>SUM('Résultat exploitation'!N57:N68)/12</f>
        <v>5.5874474881658753E-2</v>
      </c>
      <c r="M76" s="19">
        <f>R65</f>
        <v>18982.356074831558</v>
      </c>
      <c r="U76" s="160"/>
      <c r="V76" s="159"/>
    </row>
    <row r="77" spans="1:22" ht="16" x14ac:dyDescent="0.2">
      <c r="A77" s="79"/>
      <c r="B77" s="80"/>
      <c r="C77" s="80"/>
      <c r="D77" s="80"/>
      <c r="E77" s="80"/>
      <c r="F77" s="80"/>
      <c r="U77" s="160"/>
      <c r="V77" s="159"/>
    </row>
    <row r="78" spans="1:22" ht="16" x14ac:dyDescent="0.2">
      <c r="A78" s="2"/>
      <c r="U78" s="160"/>
      <c r="V78" s="159"/>
    </row>
    <row r="79" spans="1:22" ht="16" x14ac:dyDescent="0.2">
      <c r="A79" s="2"/>
      <c r="U79" s="160"/>
      <c r="V79" s="159"/>
    </row>
    <row r="80" spans="1:22" ht="16" x14ac:dyDescent="0.2">
      <c r="A80" s="2"/>
      <c r="U80" s="160"/>
      <c r="V80" s="159"/>
    </row>
    <row r="81" spans="1:22" ht="16" x14ac:dyDescent="0.2">
      <c r="A81" s="2"/>
      <c r="U81" s="160"/>
      <c r="V81" s="159"/>
    </row>
    <row r="82" spans="1:22" ht="16" x14ac:dyDescent="0.2">
      <c r="A82" s="2"/>
      <c r="U82" s="160"/>
      <c r="V82" s="159"/>
    </row>
    <row r="83" spans="1:22" ht="16" x14ac:dyDescent="0.2">
      <c r="A83" s="2"/>
      <c r="U83" s="160"/>
      <c r="V83" s="159"/>
    </row>
    <row r="84" spans="1:22" ht="16" x14ac:dyDescent="0.2">
      <c r="A84" s="2"/>
      <c r="U84" s="160"/>
      <c r="V84" s="159"/>
    </row>
    <row r="85" spans="1:22" ht="16" x14ac:dyDescent="0.2">
      <c r="A85" s="2"/>
      <c r="U85" s="160"/>
      <c r="V85" s="159"/>
    </row>
    <row r="86" spans="1:22" ht="16" x14ac:dyDescent="0.2">
      <c r="A86" s="2"/>
      <c r="U86" s="160"/>
      <c r="V86" s="159"/>
    </row>
    <row r="87" spans="1:22" ht="16" x14ac:dyDescent="0.2">
      <c r="A87" s="2"/>
      <c r="U87" s="160"/>
      <c r="V87" s="159"/>
    </row>
    <row r="88" spans="1:22" ht="16" x14ac:dyDescent="0.2">
      <c r="A88" s="2"/>
      <c r="U88" s="160"/>
      <c r="V88" s="159"/>
    </row>
    <row r="89" spans="1:22" ht="16" x14ac:dyDescent="0.2">
      <c r="A89" s="2"/>
      <c r="U89" s="160"/>
      <c r="V89" s="159"/>
    </row>
    <row r="90" spans="1:22" x14ac:dyDescent="0.2">
      <c r="A90" s="2"/>
    </row>
    <row r="91" spans="1:22" x14ac:dyDescent="0.2">
      <c r="A91" s="2"/>
    </row>
    <row r="92" spans="1:22" x14ac:dyDescent="0.2">
      <c r="A92" s="2"/>
    </row>
    <row r="93" spans="1:22" x14ac:dyDescent="0.2">
      <c r="A93" s="2"/>
    </row>
    <row r="94" spans="1:22" x14ac:dyDescent="0.2">
      <c r="A94" s="2"/>
    </row>
    <row r="95" spans="1:22" x14ac:dyDescent="0.2">
      <c r="A95" s="2"/>
    </row>
    <row r="96" spans="1:22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  <row r="101" spans="1:1" x14ac:dyDescent="0.2">
      <c r="A101" s="2"/>
    </row>
    <row r="102" spans="1:1" x14ac:dyDescent="0.2">
      <c r="A102" s="2"/>
    </row>
    <row r="103" spans="1:1" x14ac:dyDescent="0.2">
      <c r="A103" s="2"/>
    </row>
    <row r="104" spans="1:1" x14ac:dyDescent="0.2">
      <c r="A104" s="2"/>
    </row>
    <row r="105" spans="1:1" x14ac:dyDescent="0.2">
      <c r="A105" s="2"/>
    </row>
    <row r="106" spans="1:1" x14ac:dyDescent="0.2">
      <c r="A106" s="2"/>
    </row>
    <row r="107" spans="1:1" x14ac:dyDescent="0.2">
      <c r="A107" s="2"/>
    </row>
    <row r="108" spans="1:1" x14ac:dyDescent="0.2">
      <c r="A108" s="2"/>
    </row>
    <row r="109" spans="1:1" x14ac:dyDescent="0.2">
      <c r="A109" s="2"/>
    </row>
    <row r="110" spans="1:1" x14ac:dyDescent="0.2">
      <c r="A110" s="2"/>
    </row>
    <row r="111" spans="1:1" x14ac:dyDescent="0.2">
      <c r="A111" s="2"/>
    </row>
    <row r="112" spans="1:1" x14ac:dyDescent="0.2">
      <c r="A112" s="2"/>
    </row>
    <row r="113" spans="1:1" x14ac:dyDescent="0.2">
      <c r="A113" s="2"/>
    </row>
  </sheetData>
  <mergeCells count="2">
    <mergeCell ref="F4:R4"/>
    <mergeCell ref="A27:R27"/>
  </mergeCells>
  <phoneticPr fontId="1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C95DB-A547-9742-AE03-382B26488F28}">
  <dimension ref="A4:M55"/>
  <sheetViews>
    <sheetView zoomScale="81" workbookViewId="0">
      <selection activeCell="C59" sqref="C59"/>
    </sheetView>
  </sheetViews>
  <sheetFormatPr baseColWidth="10" defaultRowHeight="15" x14ac:dyDescent="0.2"/>
  <cols>
    <col min="3" max="3" width="17.83203125" customWidth="1"/>
  </cols>
  <sheetData>
    <row r="4" spans="2:11" ht="16" x14ac:dyDescent="0.2">
      <c r="B4" s="57" t="s">
        <v>4</v>
      </c>
      <c r="C4" s="99" t="s">
        <v>364</v>
      </c>
      <c r="F4" s="57" t="s">
        <v>4</v>
      </c>
      <c r="G4" s="99" t="s">
        <v>411</v>
      </c>
      <c r="J4" s="57" t="s">
        <v>4</v>
      </c>
      <c r="K4" s="99" t="s">
        <v>412</v>
      </c>
    </row>
    <row r="5" spans="2:11" ht="16" x14ac:dyDescent="0.2">
      <c r="B5" s="54" t="s">
        <v>226</v>
      </c>
      <c r="C5" s="5">
        <f>'Résultat exploitation'!N33</f>
        <v>-0.62130691528287985</v>
      </c>
      <c r="F5" s="54" t="s">
        <v>226</v>
      </c>
      <c r="G5" s="5">
        <f>'Résultat exploitation'!M33+'Résultat exploitation'!H33</f>
        <v>-5977.7965280139797</v>
      </c>
      <c r="J5" s="54" t="s">
        <v>226</v>
      </c>
      <c r="K5" s="3">
        <f>('Résultat exploitation'!M33/185000)*100</f>
        <v>-3.9092765445292215</v>
      </c>
    </row>
    <row r="6" spans="2:11" ht="16" x14ac:dyDescent="0.2">
      <c r="B6" s="54" t="s">
        <v>228</v>
      </c>
      <c r="C6" s="5">
        <f>'Résultat exploitation'!N34</f>
        <v>-0.46978984248213373</v>
      </c>
      <c r="F6" s="54" t="s">
        <v>228</v>
      </c>
      <c r="G6" s="5">
        <f>'Résultat exploitation'!M34+'Résultat exploitation'!H34</f>
        <v>-4929.352000174862</v>
      </c>
      <c r="J6" s="54" t="s">
        <v>228</v>
      </c>
      <c r="K6" s="3">
        <f>('Résultat exploitation'!M34/185000)*100</f>
        <v>-3.3425497727242925</v>
      </c>
    </row>
    <row r="7" spans="2:11" ht="16" x14ac:dyDescent="0.2">
      <c r="B7" s="54" t="s">
        <v>229</v>
      </c>
      <c r="C7" s="5">
        <f>'Résultat exploitation'!N35</f>
        <v>-0.28892729083187968</v>
      </c>
      <c r="F7" s="54" t="s">
        <v>229</v>
      </c>
      <c r="G7" s="5">
        <f>'Résultat exploitation'!M35+'Résultat exploitation'!H35</f>
        <v>-3252.8734208538363</v>
      </c>
      <c r="J7" s="54" t="s">
        <v>229</v>
      </c>
      <c r="K7" s="3">
        <f>('Résultat exploitation'!M35/185000)*100</f>
        <v>-2.4363451352534682</v>
      </c>
    </row>
    <row r="8" spans="2:11" ht="16" x14ac:dyDescent="0.2">
      <c r="B8" s="54" t="s">
        <v>230</v>
      </c>
      <c r="C8" s="5">
        <f>'Résultat exploitation'!N36</f>
        <v>-0.18998281475813428</v>
      </c>
      <c r="F8" s="54" t="s">
        <v>230</v>
      </c>
      <c r="G8" s="5">
        <f>'Résultat exploitation'!M36+'Résultat exploitation'!H36</f>
        <v>-2043.2018107674201</v>
      </c>
      <c r="J8" s="54" t="s">
        <v>230</v>
      </c>
      <c r="K8" s="3">
        <f>('Résultat exploitation'!M36/185000)*100</f>
        <v>-1.7824685892608105</v>
      </c>
    </row>
    <row r="9" spans="2:11" ht="16" x14ac:dyDescent="0.2">
      <c r="B9" s="54" t="s">
        <v>231</v>
      </c>
      <c r="C9" s="5">
        <f>'Résultat exploitation'!N37</f>
        <v>-0.1053941002018892</v>
      </c>
      <c r="F9" s="54" t="s">
        <v>231</v>
      </c>
      <c r="G9" s="5">
        <f>'Résultat exploitation'!M37+'Résultat exploitation'!H37</f>
        <v>-769.94545039012132</v>
      </c>
      <c r="J9" s="54" t="s">
        <v>231</v>
      </c>
      <c r="K9" s="3">
        <f>('Résultat exploitation'!M37/185000)*100</f>
        <v>-1.094221907975784</v>
      </c>
    </row>
    <row r="10" spans="2:11" ht="16" x14ac:dyDescent="0.2">
      <c r="B10" s="54" t="s">
        <v>232</v>
      </c>
      <c r="C10" s="5">
        <f>'Résultat exploitation'!N38</f>
        <v>-9.9089127933732687E-2</v>
      </c>
      <c r="F10" s="54" t="s">
        <v>232</v>
      </c>
      <c r="G10" s="5">
        <f>'Résultat exploitation'!M38+'Résultat exploitation'!H38</f>
        <v>-663.72199873814202</v>
      </c>
      <c r="J10" s="54" t="s">
        <v>232</v>
      </c>
      <c r="K10" s="3">
        <f>('Résultat exploitation'!M38/185000)*100</f>
        <v>-1.0368038260017411</v>
      </c>
    </row>
    <row r="11" spans="2:11" ht="16" x14ac:dyDescent="0.2">
      <c r="B11" s="54" t="s">
        <v>233</v>
      </c>
      <c r="C11" s="5">
        <f>'Résultat exploitation'!N39</f>
        <v>-0.22689283821380199</v>
      </c>
      <c r="F11" s="54" t="s">
        <v>233</v>
      </c>
      <c r="G11" s="5">
        <f>'Résultat exploitation'!M39+'Résultat exploitation'!H39</f>
        <v>-2522.3894608028559</v>
      </c>
      <c r="J11" s="54" t="s">
        <v>233</v>
      </c>
      <c r="K11" s="3">
        <f>('Résultat exploitation'!M39/185000)*100</f>
        <v>-2.0414889406313161</v>
      </c>
    </row>
    <row r="12" spans="2:11" ht="16" x14ac:dyDescent="0.2">
      <c r="B12" s="54" t="s">
        <v>234</v>
      </c>
      <c r="C12" s="5">
        <f>'Résultat exploitation'!N40</f>
        <v>-0.30846526642874644</v>
      </c>
      <c r="F12" s="54" t="s">
        <v>234</v>
      </c>
      <c r="G12" s="5">
        <f>'Résultat exploitation'!M40+'Résultat exploitation'!H40</f>
        <v>-3458.3101949460724</v>
      </c>
      <c r="J12" s="54" t="s">
        <v>234</v>
      </c>
      <c r="K12" s="3">
        <f>('Résultat exploitation'!M40/185000)*100</f>
        <v>-2.5473920401681904</v>
      </c>
    </row>
    <row r="13" spans="2:11" ht="16" x14ac:dyDescent="0.2">
      <c r="B13" s="54" t="s">
        <v>235</v>
      </c>
      <c r="C13" s="5">
        <f>'Résultat exploitation'!N41</f>
        <v>-2.39682191274515E-2</v>
      </c>
      <c r="F13" s="54" t="s">
        <v>235</v>
      </c>
      <c r="G13" s="5">
        <f>'Résultat exploitation'!M41+'Résultat exploitation'!H41</f>
        <v>741.6785505144378</v>
      </c>
      <c r="J13" s="54" t="s">
        <v>235</v>
      </c>
      <c r="K13" s="3">
        <f>('Résultat exploitation'!M41/185000)*100</f>
        <v>-0.27712785343277918</v>
      </c>
    </row>
    <row r="14" spans="2:11" ht="16" x14ac:dyDescent="0.2">
      <c r="B14" s="54" t="s">
        <v>236</v>
      </c>
      <c r="C14" s="5">
        <f>'Résultat exploitation'!N42</f>
        <v>2.9970713595005426E-2</v>
      </c>
      <c r="F14" s="54" t="s">
        <v>236</v>
      </c>
      <c r="G14" s="5">
        <f>'Résultat exploitation'!M42+'Résultat exploitation'!H42</f>
        <v>1958.6785647904107</v>
      </c>
      <c r="J14" s="54" t="s">
        <v>236</v>
      </c>
      <c r="K14" s="3">
        <f>('Résultat exploitation'!M42/185000)*100</f>
        <v>0.38070999212180073</v>
      </c>
    </row>
    <row r="15" spans="2:11" ht="16" x14ac:dyDescent="0.2">
      <c r="B15" s="54" t="s">
        <v>237</v>
      </c>
      <c r="C15" s="5">
        <f>'Résultat exploitation'!N43</f>
        <v>-3.3533940348509636E-2</v>
      </c>
      <c r="F15" s="54" t="s">
        <v>237</v>
      </c>
      <c r="G15" s="5">
        <f>'Résultat exploitation'!M43+'Résultat exploitation'!H43</f>
        <v>546.89036420131288</v>
      </c>
      <c r="J15" s="54" t="s">
        <v>237</v>
      </c>
      <c r="K15" s="3">
        <f>('Résultat exploitation'!M43/185000)*100</f>
        <v>-0.38241876495338728</v>
      </c>
    </row>
    <row r="16" spans="2:11" ht="16" x14ac:dyDescent="0.2">
      <c r="B16" s="54" t="s">
        <v>238</v>
      </c>
      <c r="C16" s="5">
        <f>'Résultat exploitation'!N44</f>
        <v>0.10605716311515409</v>
      </c>
      <c r="F16" s="54" t="s">
        <v>238</v>
      </c>
      <c r="G16" s="5">
        <f>'Résultat exploitation'!M44+'Résultat exploitation'!H44</f>
        <v>4209.2426841136103</v>
      </c>
      <c r="J16" s="54" t="s">
        <v>238</v>
      </c>
      <c r="K16" s="3">
        <f>('Résultat exploitation'!M44/185000)*100</f>
        <v>1.5972311377019086</v>
      </c>
    </row>
    <row r="17" spans="2:11" ht="16" x14ac:dyDescent="0.2">
      <c r="B17" s="54" t="s">
        <v>239</v>
      </c>
      <c r="C17" s="5">
        <f>'Résultat exploitation'!N45</f>
        <v>-0.35549580943854614</v>
      </c>
      <c r="F17" s="54" t="s">
        <v>239</v>
      </c>
      <c r="G17" s="5">
        <f>'Résultat exploitation'!M45+'Résultat exploitation'!H45</f>
        <v>-7132.1642059335436</v>
      </c>
      <c r="J17" s="54" t="s">
        <v>239</v>
      </c>
      <c r="K17" s="3">
        <f>('Résultat exploitation'!M45/185000)*100</f>
        <v>-4.3155374086127258</v>
      </c>
    </row>
    <row r="18" spans="2:11" ht="16" x14ac:dyDescent="0.2">
      <c r="B18" s="54" t="s">
        <v>240</v>
      </c>
      <c r="C18" s="5">
        <f>'Résultat exploitation'!N46</f>
        <v>-0.25851494684607829</v>
      </c>
      <c r="F18" s="54" t="s">
        <v>240</v>
      </c>
      <c r="G18" s="5">
        <f>'Résultat exploitation'!M46+'Résultat exploitation'!H46</f>
        <v>-5532.1051354768597</v>
      </c>
      <c r="J18" s="54" t="s">
        <v>240</v>
      </c>
      <c r="K18" s="3">
        <f>('Résultat exploitation'!M46/185000)*100</f>
        <v>-3.4506406137712755</v>
      </c>
    </row>
    <row r="19" spans="2:11" ht="16" x14ac:dyDescent="0.2">
      <c r="B19" s="54" t="s">
        <v>241</v>
      </c>
      <c r="C19" s="5">
        <f>'Résultat exploitation'!N47</f>
        <v>-0.13321410725238306</v>
      </c>
      <c r="F19" s="54" t="s">
        <v>241</v>
      </c>
      <c r="G19" s="5">
        <f>'Résultat exploitation'!M47+'Résultat exploitation'!H47</f>
        <v>-2923.8200848857368</v>
      </c>
      <c r="J19" s="54" t="s">
        <v>241</v>
      </c>
      <c r="K19" s="3">
        <f>('Résultat exploitation'!M47/185000)*100</f>
        <v>-2.0407568026409391</v>
      </c>
    </row>
    <row r="20" spans="2:11" ht="16" x14ac:dyDescent="0.2">
      <c r="B20" s="54" t="s">
        <v>242</v>
      </c>
      <c r="C20" s="5">
        <f>'Résultat exploitation'!N48</f>
        <v>-6.6541295763827155E-2</v>
      </c>
      <c r="F20" s="54" t="s">
        <v>242</v>
      </c>
      <c r="G20" s="5">
        <f>'Résultat exploitation'!M48+'Résultat exploitation'!H48</f>
        <v>-1195.0102312620572</v>
      </c>
      <c r="J20" s="54" t="s">
        <v>242</v>
      </c>
      <c r="K20" s="3">
        <f>('Résultat exploitation'!M48/185000)*100</f>
        <v>-1.1062649898713823</v>
      </c>
    </row>
    <row r="21" spans="2:11" ht="16" x14ac:dyDescent="0.2">
      <c r="B21" s="54" t="s">
        <v>243</v>
      </c>
      <c r="C21" s="5">
        <f>'Résultat exploitation'!N49</f>
        <v>-5.8015640403624742E-3</v>
      </c>
      <c r="F21" s="54" t="s">
        <v>243</v>
      </c>
      <c r="G21" s="5">
        <f>'Résultat exploitation'!M49+'Résultat exploitation'!H49</f>
        <v>658.11768835256578</v>
      </c>
      <c r="J21" s="54" t="s">
        <v>243</v>
      </c>
      <c r="K21" s="3">
        <f>('Résultat exploitation'!M49/185000)*100</f>
        <v>-0.10457422251212654</v>
      </c>
    </row>
    <row r="22" spans="2:11" ht="16" x14ac:dyDescent="0.2">
      <c r="B22" s="54" t="s">
        <v>244</v>
      </c>
      <c r="C22" s="5">
        <f>'Résultat exploitation'!N50</f>
        <v>-1.5229060597713213E-2</v>
      </c>
      <c r="F22" s="54" t="s">
        <v>244</v>
      </c>
      <c r="G22" s="5">
        <f>'Résultat exploitation'!M50+'Résultat exploitation'!H50</f>
        <v>350.37413653286069</v>
      </c>
      <c r="J22" s="54" t="s">
        <v>244</v>
      </c>
      <c r="K22" s="3">
        <f>('Résultat exploitation'!M50/185000)*100</f>
        <v>-0.27092208836061576</v>
      </c>
    </row>
    <row r="23" spans="2:11" ht="16" x14ac:dyDescent="0.2">
      <c r="B23" s="54" t="s">
        <v>245</v>
      </c>
      <c r="C23" s="5">
        <f>'Résultat exploitation'!N51</f>
        <v>-0.15347809360350681</v>
      </c>
      <c r="F23" s="54" t="s">
        <v>245</v>
      </c>
      <c r="G23" s="5">
        <f>'Résultat exploitation'!M51+'Résultat exploitation'!H51</f>
        <v>-3394.2325345378613</v>
      </c>
      <c r="J23" s="54" t="s">
        <v>245</v>
      </c>
      <c r="K23" s="3">
        <f>('Résultat exploitation'!M51/185000)*100</f>
        <v>-2.295033802452898</v>
      </c>
    </row>
    <row r="24" spans="2:11" ht="16" x14ac:dyDescent="0.2">
      <c r="B24" s="54" t="s">
        <v>246</v>
      </c>
      <c r="C24" s="5">
        <f>'Résultat exploitation'!N52</f>
        <v>-0.24783213654797304</v>
      </c>
      <c r="F24" s="54" t="s">
        <v>246</v>
      </c>
      <c r="G24" s="5">
        <f>'Résultat exploitation'!M52+'Résultat exploitation'!H52</f>
        <v>-5331.2143272788007</v>
      </c>
      <c r="J24" s="54" t="s">
        <v>246</v>
      </c>
      <c r="K24" s="3">
        <f>('Résultat exploitation'!M52/185000)*100</f>
        <v>-3.3420509877182711</v>
      </c>
    </row>
    <row r="25" spans="2:11" ht="16" x14ac:dyDescent="0.2">
      <c r="B25" s="54" t="s">
        <v>247</v>
      </c>
      <c r="C25" s="5">
        <f>'Résultat exploitation'!N53</f>
        <v>1.2991795706464049E-2</v>
      </c>
      <c r="F25" s="54" t="s">
        <v>247</v>
      </c>
      <c r="G25" s="5">
        <f>'Résultat exploitation'!M53+'Résultat exploitation'!H53</f>
        <v>1298.941105846633</v>
      </c>
      <c r="J25" s="54" t="s">
        <v>247</v>
      </c>
      <c r="K25" s="3">
        <f>('Résultat exploitation'!M53/185000)*100</f>
        <v>0.24181681397115301</v>
      </c>
    </row>
    <row r="26" spans="2:11" ht="16" x14ac:dyDescent="0.2">
      <c r="B26" s="54" t="s">
        <v>248</v>
      </c>
      <c r="C26" s="5">
        <f>'Résultat exploitation'!N54</f>
        <v>5.1216404125808079E-2</v>
      </c>
      <c r="F26" s="54" t="s">
        <v>248</v>
      </c>
      <c r="G26" s="5">
        <f>'Résultat exploitation'!M54+'Résultat exploitation'!H54</f>
        <v>2754.0525096498332</v>
      </c>
      <c r="J26" s="54" t="s">
        <v>248</v>
      </c>
      <c r="K26" s="3">
        <f>('Résultat exploitation'!M54/185000)*100</f>
        <v>1.0283635187296396</v>
      </c>
    </row>
    <row r="27" spans="2:11" ht="16" x14ac:dyDescent="0.2">
      <c r="B27" s="54" t="s">
        <v>249</v>
      </c>
      <c r="C27" s="5">
        <f>'Résultat exploitation'!N55</f>
        <v>-1.5367758100420787E-2</v>
      </c>
      <c r="F27" s="54" t="s">
        <v>249</v>
      </c>
      <c r="G27" s="5">
        <f>'Résultat exploitation'!M55+'Résultat exploitation'!H55</f>
        <v>346.25343474079074</v>
      </c>
      <c r="J27" s="54" t="s">
        <v>249</v>
      </c>
      <c r="K27" s="3">
        <f>('Résultat exploitation'!M55/185000)*100</f>
        <v>-0.27314949473470768</v>
      </c>
    </row>
    <row r="28" spans="2:11" ht="16" x14ac:dyDescent="0.2">
      <c r="B28" s="54" t="s">
        <v>250</v>
      </c>
      <c r="C28" s="5">
        <f>'Résultat exploitation'!N56</f>
        <v>0.11669945850942537</v>
      </c>
      <c r="F28" s="54" t="s">
        <v>250</v>
      </c>
      <c r="G28" s="5">
        <f>'Résultat exploitation'!M56+'Résultat exploitation'!H56</f>
        <v>5862.5530474242187</v>
      </c>
      <c r="J28" s="54" t="s">
        <v>250</v>
      </c>
      <c r="K28" s="3">
        <f>('Résultat exploitation'!M56/185000)*100</f>
        <v>2.7086340796887667</v>
      </c>
    </row>
    <row r="29" spans="2:11" ht="16" x14ac:dyDescent="0.2">
      <c r="B29" s="54" t="s">
        <v>251</v>
      </c>
      <c r="C29" s="5">
        <f>'Résultat exploitation'!N57</f>
        <v>-9.6400045609156923E-2</v>
      </c>
      <c r="F29" s="54" t="s">
        <v>251</v>
      </c>
      <c r="G29" s="5">
        <f>'Résultat exploitation'!M57+'Résultat exploitation'!H57</f>
        <v>-2495.9765438909944</v>
      </c>
      <c r="J29" s="54" t="s">
        <v>251</v>
      </c>
      <c r="K29" s="3">
        <f>('Résultat exploitation'!M57/185000)*100</f>
        <v>-1.7869656994005376</v>
      </c>
    </row>
    <row r="30" spans="2:11" ht="16" x14ac:dyDescent="0.2">
      <c r="B30" s="54" t="s">
        <v>252</v>
      </c>
      <c r="C30" s="5">
        <f>'Résultat exploitation'!N58</f>
        <v>-3.24381564582336E-2</v>
      </c>
      <c r="F30" s="54" t="s">
        <v>252</v>
      </c>
      <c r="G30" s="5">
        <f>'Résultat exploitation'!M58+'Résultat exploitation'!H58</f>
        <v>-396.02114484740105</v>
      </c>
      <c r="J30" s="54" t="s">
        <v>252</v>
      </c>
      <c r="K30" s="3">
        <f>('Résultat exploitation'!M58/185000)*100</f>
        <v>-0.65185467289048704</v>
      </c>
    </row>
    <row r="31" spans="2:11" ht="16" x14ac:dyDescent="0.2">
      <c r="B31" s="54" t="s">
        <v>253</v>
      </c>
      <c r="C31" s="5">
        <f>'Résultat exploitation'!N59</f>
        <v>4.3661994717322787E-2</v>
      </c>
      <c r="F31" s="54" t="s">
        <v>253</v>
      </c>
      <c r="G31" s="5">
        <f>'Résultat exploitation'!M59+'Résultat exploitation'!H59</f>
        <v>2652.8241702003234</v>
      </c>
      <c r="J31" s="54" t="s">
        <v>253</v>
      </c>
      <c r="K31" s="3">
        <f>('Résultat exploitation'!M59/185000)*100</f>
        <v>0.99616982172990465</v>
      </c>
    </row>
    <row r="32" spans="2:11" ht="16" x14ac:dyDescent="0.2">
      <c r="B32" s="54" t="s">
        <v>254</v>
      </c>
      <c r="C32" s="5">
        <f>'Résultat exploitation'!N60</f>
        <v>7.9197723381787058E-2</v>
      </c>
      <c r="F32" s="54" t="s">
        <v>254</v>
      </c>
      <c r="G32" s="5">
        <f>'Résultat exploitation'!M60+'Résultat exploitation'!H60</f>
        <v>4407.0908495865333</v>
      </c>
      <c r="J32" s="54" t="s">
        <v>254</v>
      </c>
      <c r="K32" s="3">
        <f>('Résultat exploitation'!M60/185000)*100</f>
        <v>1.9444220808575858</v>
      </c>
    </row>
    <row r="33" spans="1:13" ht="16" x14ac:dyDescent="0.2">
      <c r="B33" s="54" t="s">
        <v>255</v>
      </c>
      <c r="C33" s="5">
        <f>'Résultat exploitation'!N61</f>
        <v>0.11027774571147647</v>
      </c>
      <c r="F33" s="54" t="s">
        <v>255</v>
      </c>
      <c r="G33" s="5">
        <f>'Résultat exploitation'!M61+'Résultat exploitation'!H61</f>
        <v>6175.8495673090492</v>
      </c>
      <c r="J33" s="54" t="s">
        <v>255</v>
      </c>
      <c r="K33" s="3">
        <f>('Résultat exploitation'!M61/185000)*100</f>
        <v>2.9005078742211077</v>
      </c>
    </row>
    <row r="34" spans="1:13" ht="16" x14ac:dyDescent="0.2">
      <c r="B34" s="54" t="s">
        <v>256</v>
      </c>
      <c r="C34" s="5">
        <f>'Résultat exploitation'!N62</f>
        <v>0.10056663463608154</v>
      </c>
      <c r="F34" s="54" t="s">
        <v>256</v>
      </c>
      <c r="G34" s="5">
        <f>'Résultat exploitation'!M62+'Résultat exploitation'!H62</f>
        <v>5595.927115705229</v>
      </c>
      <c r="J34" s="54" t="s">
        <v>256</v>
      </c>
      <c r="K34" s="3">
        <f>('Résultat exploitation'!M62/185000)*100</f>
        <v>2.5870362787595833</v>
      </c>
    </row>
    <row r="35" spans="1:13" ht="16" x14ac:dyDescent="0.2">
      <c r="B35" s="54" t="s">
        <v>257</v>
      </c>
      <c r="C35" s="5">
        <f>'Résultat exploitation'!N63</f>
        <v>1.2543935772488616E-2</v>
      </c>
      <c r="F35" s="54" t="s">
        <v>257</v>
      </c>
      <c r="G35" s="5">
        <f>'Résultat exploitation'!M63+'Résultat exploitation'!H63</f>
        <v>1308.2151124375164</v>
      </c>
      <c r="J35" s="54" t="s">
        <v>257</v>
      </c>
      <c r="K35" s="3">
        <f>('Résultat exploitation'!M63/185000)*100</f>
        <v>0.26935411483108995</v>
      </c>
    </row>
    <row r="36" spans="1:13" ht="16" x14ac:dyDescent="0.2">
      <c r="B36" s="54" t="s">
        <v>258</v>
      </c>
      <c r="C36" s="5">
        <f>'Résultat exploitation'!N64</f>
        <v>-6.7001857468575676E-2</v>
      </c>
      <c r="F36" s="54" t="s">
        <v>258</v>
      </c>
      <c r="G36" s="5">
        <f>'Résultat exploitation'!M64+'Résultat exploitation'!H64</f>
        <v>-1570.8561792335261</v>
      </c>
      <c r="J36" s="54" t="s">
        <v>258</v>
      </c>
      <c r="K36" s="3">
        <f>('Résultat exploitation'!M64/185000)*100</f>
        <v>-1.2869006374235277</v>
      </c>
    </row>
    <row r="37" spans="1:13" ht="16" x14ac:dyDescent="0.2">
      <c r="B37" s="54" t="s">
        <v>259</v>
      </c>
      <c r="C37" s="5">
        <f>'Résultat exploitation'!N65</f>
        <v>0.10965949608179595</v>
      </c>
      <c r="F37" s="54" t="s">
        <v>259</v>
      </c>
      <c r="G37" s="5">
        <f>'Résultat exploitation'!M65+'Résultat exploitation'!H65</f>
        <v>6135.6142310651339</v>
      </c>
      <c r="J37" s="54" t="s">
        <v>259</v>
      </c>
      <c r="K37" s="3">
        <f>('Résultat exploitation'!M65/185000)*100</f>
        <v>2.8787590438189912</v>
      </c>
    </row>
    <row r="38" spans="1:13" ht="16" x14ac:dyDescent="0.2">
      <c r="B38" s="54" t="s">
        <v>260</v>
      </c>
      <c r="C38" s="5">
        <f>'Résultat exploitation'!N66</f>
        <v>0.13855554162641143</v>
      </c>
      <c r="F38" s="54" t="s">
        <v>260</v>
      </c>
      <c r="G38" s="5">
        <f>'Résultat exploitation'!M66+'Résultat exploitation'!H66</f>
        <v>8015.9783924546655</v>
      </c>
      <c r="J38" s="54" t="s">
        <v>260</v>
      </c>
      <c r="K38" s="3">
        <f>('Résultat exploitation'!M66/185000)*100</f>
        <v>3.8951721040295491</v>
      </c>
    </row>
    <row r="39" spans="1:13" ht="16" x14ac:dyDescent="0.2">
      <c r="B39" s="54" t="s">
        <v>261</v>
      </c>
      <c r="C39" s="5">
        <f>'Résultat exploitation'!N67</f>
        <v>8.3317711445180104E-2</v>
      </c>
      <c r="F39" s="54" t="s">
        <v>261</v>
      </c>
      <c r="G39" s="5">
        <f>'Résultat exploitation'!M67+'Résultat exploitation'!H67</f>
        <v>4624.7172577958727</v>
      </c>
      <c r="J39" s="54" t="s">
        <v>261</v>
      </c>
      <c r="K39" s="3">
        <f>('Résultat exploitation'!M67/185000)*100</f>
        <v>2.0620579771869583</v>
      </c>
    </row>
    <row r="40" spans="1:13" ht="16" x14ac:dyDescent="0.2">
      <c r="B40" s="54" t="s">
        <v>227</v>
      </c>
      <c r="C40" s="5">
        <f>'Résultat exploitation'!N68</f>
        <v>0.18855297474332733</v>
      </c>
      <c r="F40" s="54" t="s">
        <v>227</v>
      </c>
      <c r="G40" s="5">
        <f>'Résultat exploitation'!M68+'Résultat exploitation'!H68</f>
        <v>11987.331783760468</v>
      </c>
      <c r="J40" s="54" t="s">
        <v>227</v>
      </c>
      <c r="K40" s="3">
        <f>('Résultat exploitation'!M68/185000)*100</f>
        <v>6.0418496128434969</v>
      </c>
    </row>
    <row r="45" spans="1:13" x14ac:dyDescent="0.2">
      <c r="A45" s="120"/>
      <c r="B45" s="120"/>
      <c r="C45" s="120"/>
      <c r="D45" s="120"/>
      <c r="E45" s="120"/>
      <c r="F45" s="125" t="s">
        <v>127</v>
      </c>
      <c r="G45" s="125" t="s">
        <v>414</v>
      </c>
      <c r="H45" s="120"/>
      <c r="I45" s="120"/>
      <c r="J45" s="125" t="s">
        <v>127</v>
      </c>
      <c r="K45" s="125" t="s">
        <v>413</v>
      </c>
      <c r="L45" s="120"/>
      <c r="M45" s="120"/>
    </row>
    <row r="46" spans="1:13" x14ac:dyDescent="0.2">
      <c r="A46" s="120"/>
      <c r="B46" s="125" t="s">
        <v>127</v>
      </c>
      <c r="C46" s="125" t="s">
        <v>415</v>
      </c>
      <c r="D46" s="120"/>
      <c r="E46" s="120"/>
      <c r="F46" s="125">
        <v>1</v>
      </c>
      <c r="G46" s="123">
        <f>SUM(G5:G16)</f>
        <v>-16161.10070106752</v>
      </c>
      <c r="H46" s="120"/>
      <c r="I46" s="120"/>
      <c r="J46" s="125">
        <v>1</v>
      </c>
      <c r="K46" s="125">
        <f>SUM(K5:K16)</f>
        <v>-16.872152245107284</v>
      </c>
      <c r="L46" s="120"/>
      <c r="M46" s="120"/>
    </row>
    <row r="47" spans="1:13" x14ac:dyDescent="0.2">
      <c r="A47" s="120"/>
      <c r="B47" s="125">
        <v>1</v>
      </c>
      <c r="C47" s="125">
        <f>SUM(C5:C16)/12</f>
        <v>-0.18594353990824997</v>
      </c>
      <c r="D47" s="120"/>
      <c r="E47" s="120"/>
      <c r="F47" s="125">
        <v>2</v>
      </c>
      <c r="G47" s="123">
        <f>SUM(G17:G28)</f>
        <v>-14238.254596827963</v>
      </c>
      <c r="H47" s="120"/>
      <c r="I47" s="120"/>
      <c r="J47" s="125">
        <v>2</v>
      </c>
      <c r="K47" s="125">
        <f>SUM(K17:K28)</f>
        <v>-13.220115998285383</v>
      </c>
      <c r="L47" s="120"/>
      <c r="M47" s="120"/>
    </row>
    <row r="48" spans="1:13" x14ac:dyDescent="0.2">
      <c r="A48" s="120"/>
      <c r="B48" s="125">
        <v>2</v>
      </c>
      <c r="C48" s="125">
        <f>SUM(C17:C28)/12</f>
        <v>-8.9213926154092793E-2</v>
      </c>
      <c r="D48" s="120"/>
      <c r="E48" s="120"/>
      <c r="F48" s="125">
        <v>3</v>
      </c>
      <c r="G48" s="123">
        <f>SUM(G29:G40)</f>
        <v>46440.694612342864</v>
      </c>
      <c r="H48" s="120"/>
      <c r="I48" s="120"/>
      <c r="J48" s="125">
        <v>3</v>
      </c>
      <c r="K48" s="125">
        <f>SUM(K29:K40)</f>
        <v>19.849607898563715</v>
      </c>
      <c r="L48" s="120"/>
      <c r="M48" s="120"/>
    </row>
    <row r="49" spans="1:13" x14ac:dyDescent="0.2">
      <c r="A49" s="120"/>
      <c r="B49" s="125">
        <v>3</v>
      </c>
      <c r="C49" s="125">
        <f>SUM(C29:C40)/12</f>
        <v>5.5874474881658753E-2</v>
      </c>
      <c r="D49" s="120"/>
      <c r="E49" s="120"/>
      <c r="F49" s="120"/>
      <c r="G49" s="120"/>
      <c r="H49" s="120"/>
      <c r="I49" s="120"/>
      <c r="J49" s="120"/>
      <c r="K49" s="120"/>
      <c r="L49" s="120"/>
      <c r="M49" s="120"/>
    </row>
    <row r="50" spans="1:13" x14ac:dyDescent="0.2">
      <c r="A50" s="120"/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</row>
    <row r="51" spans="1:13" x14ac:dyDescent="0.2">
      <c r="A51" s="120"/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</row>
    <row r="52" spans="1:13" x14ac:dyDescent="0.2">
      <c r="A52" s="120"/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</row>
    <row r="53" spans="1:13" x14ac:dyDescent="0.2">
      <c r="A53" s="120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</row>
    <row r="54" spans="1:13" x14ac:dyDescent="0.2">
      <c r="A54" s="120"/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</row>
    <row r="55" spans="1:13" x14ac:dyDescent="0.2">
      <c r="A55" s="120"/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488EC-9487-0944-932E-2899A6710F1F}">
  <dimension ref="B3:H157"/>
  <sheetViews>
    <sheetView topLeftCell="A63" zoomScale="91" workbookViewId="0">
      <selection activeCell="G8" sqref="G8"/>
    </sheetView>
  </sheetViews>
  <sheetFormatPr baseColWidth="10" defaultRowHeight="15" x14ac:dyDescent="0.2"/>
  <cols>
    <col min="3" max="4" width="24.33203125" customWidth="1"/>
    <col min="5" max="5" width="27" customWidth="1"/>
    <col min="6" max="6" width="24.33203125" customWidth="1"/>
  </cols>
  <sheetData>
    <row r="3" spans="2:7" ht="17" thickBot="1" x14ac:dyDescent="0.25">
      <c r="B3" s="39"/>
      <c r="C3" s="140" t="s">
        <v>384</v>
      </c>
      <c r="D3" s="140"/>
      <c r="E3" s="140"/>
      <c r="F3" s="140"/>
      <c r="G3" s="39"/>
    </row>
    <row r="4" spans="2:7" ht="17" thickBot="1" x14ac:dyDescent="0.25">
      <c r="B4" s="39"/>
      <c r="C4" s="141" t="s">
        <v>217</v>
      </c>
      <c r="D4" s="142"/>
      <c r="E4" s="143" t="s">
        <v>385</v>
      </c>
      <c r="F4" s="142"/>
      <c r="G4" s="39"/>
    </row>
    <row r="5" spans="2:7" ht="16" x14ac:dyDescent="0.2">
      <c r="B5" s="39"/>
      <c r="C5" s="40" t="s">
        <v>386</v>
      </c>
      <c r="D5" s="41"/>
      <c r="E5" s="39" t="s">
        <v>387</v>
      </c>
      <c r="F5" s="41">
        <f>(Hypothèses!B85+Hypothèses!B86)-F8</f>
        <v>148500</v>
      </c>
      <c r="G5" s="39"/>
    </row>
    <row r="6" spans="2:7" ht="16" x14ac:dyDescent="0.2">
      <c r="B6" s="39"/>
      <c r="C6" s="42" t="s">
        <v>388</v>
      </c>
      <c r="D6" s="41">
        <f>Hypothèses!B40+Hypothèses!B44+Hypothèses!B47+Hypothèses!B52</f>
        <v>63500</v>
      </c>
      <c r="E6" s="39" t="s">
        <v>389</v>
      </c>
      <c r="F6" s="41">
        <f>Hypothèses!B87</f>
        <v>90000</v>
      </c>
      <c r="G6" s="39"/>
    </row>
    <row r="7" spans="2:7" ht="16" x14ac:dyDescent="0.2">
      <c r="B7" s="39"/>
      <c r="C7" s="42" t="s">
        <v>390</v>
      </c>
      <c r="D7" s="41">
        <f>Hypothèses!B41+Hypothèses!B42+Hypothèses!B43+Hypothèses!B45+Hypothèses!B46+Hypothèses!B48+Hypothèses!B49+Hypothèses!B50</f>
        <v>58000</v>
      </c>
      <c r="E7" s="39" t="s">
        <v>419</v>
      </c>
      <c r="F7" s="41">
        <f>Hypothèses!B88</f>
        <v>20000</v>
      </c>
      <c r="G7" s="102"/>
    </row>
    <row r="8" spans="2:7" ht="17" thickBot="1" x14ac:dyDescent="0.25">
      <c r="B8" s="39"/>
      <c r="C8" s="42" t="s">
        <v>392</v>
      </c>
      <c r="D8" s="41"/>
      <c r="E8" s="39" t="s">
        <v>420</v>
      </c>
      <c r="F8" s="41">
        <f>(Hypothèses!B85+Hypothèses!B86)*0.1</f>
        <v>16500</v>
      </c>
      <c r="G8" s="83"/>
    </row>
    <row r="9" spans="2:7" ht="17" thickBot="1" x14ac:dyDescent="0.25">
      <c r="B9" s="39"/>
      <c r="C9" s="43" t="s">
        <v>394</v>
      </c>
      <c r="D9" s="44">
        <f>SUM(D6:D8)</f>
        <v>121500</v>
      </c>
      <c r="E9" s="39" t="s">
        <v>395</v>
      </c>
      <c r="F9" s="41"/>
      <c r="G9" s="39"/>
    </row>
    <row r="10" spans="2:7" ht="17" thickBot="1" x14ac:dyDescent="0.25">
      <c r="B10" s="39"/>
      <c r="C10" s="42" t="s">
        <v>396</v>
      </c>
      <c r="D10" s="41">
        <f>Hypothèses!B51</f>
        <v>14000</v>
      </c>
      <c r="E10" s="39" t="s">
        <v>397</v>
      </c>
      <c r="F10" s="41"/>
      <c r="G10" s="39"/>
    </row>
    <row r="11" spans="2:7" ht="17" thickBot="1" x14ac:dyDescent="0.25">
      <c r="B11" s="39"/>
      <c r="C11" s="42" t="s">
        <v>18</v>
      </c>
      <c r="D11" s="41">
        <v>0</v>
      </c>
      <c r="E11" s="45" t="s">
        <v>394</v>
      </c>
      <c r="F11" s="44">
        <f>SUM(F5:F10)</f>
        <v>275000</v>
      </c>
      <c r="G11" s="39"/>
    </row>
    <row r="12" spans="2:7" ht="17" thickBot="1" x14ac:dyDescent="0.25">
      <c r="B12" s="39"/>
      <c r="C12" s="43" t="s">
        <v>394</v>
      </c>
      <c r="D12" s="44">
        <f>D9+D10+D11</f>
        <v>135500</v>
      </c>
      <c r="E12" s="39" t="s">
        <v>398</v>
      </c>
      <c r="F12" s="41" t="s">
        <v>391</v>
      </c>
      <c r="G12" s="39"/>
    </row>
    <row r="13" spans="2:7" ht="17" thickBot="1" x14ac:dyDescent="0.25">
      <c r="B13" s="39"/>
      <c r="C13" s="42" t="s">
        <v>399</v>
      </c>
      <c r="D13" s="41">
        <f>(Hypothèses!B85+Hypothèses!B86+Hypothèses!B87+Hypothèses!B88)-D12</f>
        <v>139500</v>
      </c>
      <c r="E13" s="45" t="s">
        <v>394</v>
      </c>
      <c r="F13" s="46" t="s">
        <v>400</v>
      </c>
      <c r="G13" s="39"/>
    </row>
    <row r="14" spans="2:7" ht="17" thickBot="1" x14ac:dyDescent="0.25">
      <c r="B14" s="39"/>
      <c r="C14" s="42" t="s">
        <v>401</v>
      </c>
      <c r="D14" s="41"/>
      <c r="E14" s="39"/>
      <c r="F14" s="41"/>
      <c r="G14" s="39"/>
    </row>
    <row r="15" spans="2:7" ht="17" thickBot="1" x14ac:dyDescent="0.25">
      <c r="B15" s="39"/>
      <c r="C15" s="43" t="s">
        <v>394</v>
      </c>
      <c r="D15" s="46">
        <f>D12+D13</f>
        <v>275000</v>
      </c>
      <c r="E15" s="39"/>
      <c r="F15" s="47"/>
      <c r="G15" s="39"/>
    </row>
    <row r="16" spans="2:7" ht="17" thickBot="1" x14ac:dyDescent="0.25">
      <c r="B16" s="39"/>
      <c r="C16" s="48" t="s">
        <v>402</v>
      </c>
      <c r="D16" s="49">
        <f>D15</f>
        <v>275000</v>
      </c>
      <c r="E16" s="45" t="s">
        <v>403</v>
      </c>
      <c r="F16" s="49">
        <f>F11</f>
        <v>275000</v>
      </c>
      <c r="G16" s="39"/>
    </row>
    <row r="17" spans="2:8" ht="16" x14ac:dyDescent="0.2">
      <c r="B17" s="39"/>
      <c r="C17" s="39"/>
      <c r="D17" s="39"/>
      <c r="E17" s="50"/>
      <c r="F17" s="39"/>
      <c r="G17" s="39"/>
    </row>
    <row r="18" spans="2:8" ht="16" x14ac:dyDescent="0.2">
      <c r="B18" s="39"/>
      <c r="C18" s="144"/>
      <c r="D18" s="144"/>
      <c r="E18" s="144"/>
      <c r="F18" s="144"/>
      <c r="G18" s="39"/>
    </row>
    <row r="19" spans="2:8" ht="16" x14ac:dyDescent="0.2">
      <c r="B19" s="39"/>
      <c r="C19" s="145"/>
      <c r="D19" s="145"/>
      <c r="E19" s="145"/>
      <c r="F19" s="145"/>
      <c r="G19" s="39"/>
    </row>
    <row r="20" spans="2:8" ht="16" x14ac:dyDescent="0.2">
      <c r="B20" s="39"/>
      <c r="C20" s="82"/>
      <c r="D20" s="50"/>
      <c r="E20" s="39"/>
      <c r="F20" s="50"/>
      <c r="G20" s="39"/>
    </row>
    <row r="21" spans="2:8" ht="17" thickBot="1" x14ac:dyDescent="0.25">
      <c r="B21" s="39"/>
      <c r="C21" s="147" t="s">
        <v>421</v>
      </c>
      <c r="D21" s="147"/>
      <c r="E21" s="147"/>
      <c r="F21" s="147"/>
      <c r="G21" s="39"/>
      <c r="H21" s="8"/>
    </row>
    <row r="22" spans="2:8" ht="17" thickBot="1" x14ac:dyDescent="0.25">
      <c r="B22" s="39"/>
      <c r="C22" s="148" t="s">
        <v>217</v>
      </c>
      <c r="D22" s="149"/>
      <c r="E22" s="148" t="s">
        <v>385</v>
      </c>
      <c r="F22" s="149"/>
      <c r="G22" s="39"/>
    </row>
    <row r="23" spans="2:8" ht="16" x14ac:dyDescent="0.2">
      <c r="B23" s="39"/>
      <c r="C23" s="86" t="s">
        <v>386</v>
      </c>
      <c r="D23" s="87"/>
      <c r="E23" t="s">
        <v>387</v>
      </c>
      <c r="F23" s="88">
        <f>F5</f>
        <v>148500</v>
      </c>
      <c r="G23" s="39"/>
    </row>
    <row r="24" spans="2:8" ht="16" x14ac:dyDescent="0.2">
      <c r="B24" s="39"/>
      <c r="C24" s="89" t="s">
        <v>388</v>
      </c>
      <c r="D24" s="90">
        <f>D6</f>
        <v>63500</v>
      </c>
      <c r="E24" t="s">
        <v>425</v>
      </c>
      <c r="F24" s="91">
        <f>F6-SUM('Coûts &amp; variables'!E139:E150)</f>
        <v>75237.689156591325</v>
      </c>
      <c r="G24" s="39"/>
    </row>
    <row r="25" spans="2:8" ht="16" x14ac:dyDescent="0.2">
      <c r="B25" s="39"/>
      <c r="C25" s="89" t="s">
        <v>390</v>
      </c>
      <c r="D25" s="90">
        <f>D7</f>
        <v>58000</v>
      </c>
      <c r="E25" t="s">
        <v>426</v>
      </c>
      <c r="F25" s="91">
        <f>SUM('Coûts &amp; variables'!E139:E150)</f>
        <v>14762.310843408681</v>
      </c>
      <c r="G25" s="51"/>
    </row>
    <row r="26" spans="2:8" ht="16" x14ac:dyDescent="0.2">
      <c r="B26" s="39"/>
      <c r="C26" s="89" t="s">
        <v>404</v>
      </c>
      <c r="D26" s="90">
        <f>-('Coûts &amp; variables'!G134*12)</f>
        <v>-15052.38095238095</v>
      </c>
      <c r="E26" t="s">
        <v>419</v>
      </c>
      <c r="F26" s="91">
        <f>F7</f>
        <v>20000</v>
      </c>
      <c r="G26" s="51"/>
    </row>
    <row r="27" spans="2:8" ht="17" thickBot="1" x14ac:dyDescent="0.25">
      <c r="B27" s="39"/>
      <c r="C27" s="89"/>
      <c r="D27" s="90"/>
      <c r="E27" t="s">
        <v>420</v>
      </c>
      <c r="F27" s="91">
        <f>F23*10%</f>
        <v>14850</v>
      </c>
      <c r="G27" s="51"/>
    </row>
    <row r="28" spans="2:8" ht="17" thickBot="1" x14ac:dyDescent="0.25">
      <c r="B28" s="39"/>
      <c r="C28" s="92" t="s">
        <v>394</v>
      </c>
      <c r="D28" s="93">
        <f>SUM(D24:D27)</f>
        <v>106447.61904761905</v>
      </c>
      <c r="E28" t="s">
        <v>405</v>
      </c>
      <c r="F28" s="91">
        <f>SUM('Résultat exploitation'!M15:M18)</f>
        <v>-30670.217881896933</v>
      </c>
      <c r="G28" s="39"/>
    </row>
    <row r="29" spans="2:8" ht="17" thickBot="1" x14ac:dyDescent="0.25">
      <c r="B29" s="39"/>
      <c r="C29" s="89" t="s">
        <v>396</v>
      </c>
      <c r="D29" s="90">
        <v>14000</v>
      </c>
      <c r="E29" t="s">
        <v>397</v>
      </c>
      <c r="F29" s="91">
        <v>2000</v>
      </c>
      <c r="G29" s="39"/>
    </row>
    <row r="30" spans="2:8" ht="17" thickBot="1" x14ac:dyDescent="0.25">
      <c r="B30" s="39"/>
      <c r="C30" s="89" t="s">
        <v>18</v>
      </c>
      <c r="D30" s="90">
        <f>SUM('Coûts &amp; variables'!K45:K56)*0.2</f>
        <v>13263.711529413311</v>
      </c>
      <c r="E30" s="92" t="s">
        <v>394</v>
      </c>
      <c r="F30" s="93">
        <f>SUM(F23:F29)</f>
        <v>244679.78211810306</v>
      </c>
      <c r="G30" s="39"/>
    </row>
    <row r="31" spans="2:8" ht="17" thickBot="1" x14ac:dyDescent="0.25">
      <c r="B31" s="39"/>
      <c r="C31" s="92" t="s">
        <v>394</v>
      </c>
      <c r="D31" s="93">
        <f>SUM(D29:D30)</f>
        <v>27263.711529413311</v>
      </c>
      <c r="E31" t="s">
        <v>398</v>
      </c>
      <c r="F31" s="91">
        <f>D30*0.08</f>
        <v>1061.0969223530649</v>
      </c>
      <c r="G31" s="39"/>
    </row>
    <row r="32" spans="2:8" ht="17" thickBot="1" x14ac:dyDescent="0.25">
      <c r="B32" s="39"/>
      <c r="C32" s="89" t="s">
        <v>399</v>
      </c>
      <c r="D32" s="90">
        <f>F23+F24+F26+F27+F29-D28-D31+F31</f>
        <v>127937.45550191202</v>
      </c>
      <c r="E32" s="92" t="s">
        <v>394</v>
      </c>
      <c r="F32" s="94">
        <f>SUM(F31)</f>
        <v>1061.0969223530649</v>
      </c>
      <c r="G32" s="39"/>
    </row>
    <row r="33" spans="3:6" ht="16" thickBot="1" x14ac:dyDescent="0.25">
      <c r="C33" s="89" t="s">
        <v>401</v>
      </c>
      <c r="D33" s="90">
        <v>0</v>
      </c>
      <c r="F33" s="91"/>
    </row>
    <row r="34" spans="3:6" ht="17" thickBot="1" x14ac:dyDescent="0.25">
      <c r="C34" s="92" t="s">
        <v>394</v>
      </c>
      <c r="D34" s="95">
        <f>SUM(D32:D33)</f>
        <v>127937.45550191202</v>
      </c>
      <c r="F34" s="96"/>
    </row>
    <row r="35" spans="3:6" ht="17" thickBot="1" x14ac:dyDescent="0.25">
      <c r="C35" s="92" t="s">
        <v>402</v>
      </c>
      <c r="D35" s="93">
        <f>D28+D31+D34+F28+F25</f>
        <v>245740.87904045612</v>
      </c>
      <c r="E35" s="92" t="s">
        <v>403</v>
      </c>
      <c r="F35" s="97">
        <f>F30+F32</f>
        <v>245740.87904045612</v>
      </c>
    </row>
    <row r="42" spans="3:6" ht="17" thickBot="1" x14ac:dyDescent="0.25">
      <c r="C42" s="146" t="s">
        <v>422</v>
      </c>
      <c r="D42" s="146"/>
      <c r="E42" s="146"/>
      <c r="F42" s="146"/>
    </row>
    <row r="43" spans="3:6" ht="16" thickBot="1" x14ac:dyDescent="0.25">
      <c r="C43" s="84" t="s">
        <v>217</v>
      </c>
      <c r="D43" s="85"/>
      <c r="E43" s="84" t="s">
        <v>385</v>
      </c>
      <c r="F43" s="85"/>
    </row>
    <row r="44" spans="3:6" ht="16" x14ac:dyDescent="0.2">
      <c r="C44" s="86" t="s">
        <v>386</v>
      </c>
      <c r="D44" s="87"/>
      <c r="E44" t="s">
        <v>387</v>
      </c>
      <c r="F44" s="88">
        <f>F23</f>
        <v>148500</v>
      </c>
    </row>
    <row r="45" spans="3:6" x14ac:dyDescent="0.2">
      <c r="C45" s="89" t="s">
        <v>388</v>
      </c>
      <c r="D45" s="90">
        <f>D24</f>
        <v>63500</v>
      </c>
      <c r="E45" t="s">
        <v>425</v>
      </c>
      <c r="F45" s="91">
        <f>F24-SUM('Coûts &amp; variables'!E151:E162)</f>
        <v>60475.378313182642</v>
      </c>
    </row>
    <row r="46" spans="3:6" x14ac:dyDescent="0.2">
      <c r="C46" s="89" t="s">
        <v>390</v>
      </c>
      <c r="D46" s="90">
        <f>D25</f>
        <v>58000</v>
      </c>
      <c r="E46" t="s">
        <v>426</v>
      </c>
      <c r="F46" s="91">
        <f>SUM('Coûts &amp; variables'!E139:E162)</f>
        <v>29524.621686817358</v>
      </c>
    </row>
    <row r="47" spans="3:6" x14ac:dyDescent="0.2">
      <c r="C47" s="89" t="s">
        <v>404</v>
      </c>
      <c r="D47" s="90">
        <f>D26-('Coûts &amp; variables'!H134*12)</f>
        <v>-25271.34095238095</v>
      </c>
      <c r="E47" t="s">
        <v>419</v>
      </c>
      <c r="F47" s="91">
        <f>F26</f>
        <v>20000</v>
      </c>
    </row>
    <row r="48" spans="3:6" ht="16" thickBot="1" x14ac:dyDescent="0.25">
      <c r="C48" s="89"/>
      <c r="D48" s="90"/>
      <c r="E48" t="s">
        <v>393</v>
      </c>
      <c r="F48" s="91">
        <f>F27</f>
        <v>14850</v>
      </c>
    </row>
    <row r="49" spans="3:6" ht="17" thickBot="1" x14ac:dyDescent="0.25">
      <c r="C49" s="92" t="s">
        <v>394</v>
      </c>
      <c r="D49" s="93">
        <f>SUM(D45:D47)</f>
        <v>96228.659047619047</v>
      </c>
      <c r="E49" t="s">
        <v>405</v>
      </c>
      <c r="F49" s="91">
        <f>SUM('Résultat exploitation'!M19:M22)</f>
        <v>-27175.986609870393</v>
      </c>
    </row>
    <row r="50" spans="3:6" ht="16" thickBot="1" x14ac:dyDescent="0.25">
      <c r="C50" s="89" t="s">
        <v>396</v>
      </c>
      <c r="D50" s="90">
        <f>D29</f>
        <v>14000</v>
      </c>
      <c r="E50" t="s">
        <v>397</v>
      </c>
      <c r="F50" s="91">
        <f>F29</f>
        <v>2000</v>
      </c>
    </row>
    <row r="51" spans="3:6" ht="17" thickBot="1" x14ac:dyDescent="0.25">
      <c r="C51" s="89" t="s">
        <v>18</v>
      </c>
      <c r="D51" s="90">
        <f>SUM('Coûts &amp; variables'!K57:K68)*0.2</f>
        <v>20218.028531052245</v>
      </c>
      <c r="E51" s="92" t="s">
        <v>394</v>
      </c>
      <c r="F51" s="93">
        <f>SUM(F44:F50)</f>
        <v>248174.01339012961</v>
      </c>
    </row>
    <row r="52" spans="3:6" ht="17" thickBot="1" x14ac:dyDescent="0.25">
      <c r="C52" s="92" t="s">
        <v>394</v>
      </c>
      <c r="D52" s="93">
        <f>SUM(D50:D51)</f>
        <v>34218.028531052245</v>
      </c>
      <c r="E52" t="s">
        <v>398</v>
      </c>
      <c r="F52" s="91">
        <f>D51*0.08</f>
        <v>1617.4422824841797</v>
      </c>
    </row>
    <row r="53" spans="3:6" ht="17" thickBot="1" x14ac:dyDescent="0.25">
      <c r="C53" s="89" t="s">
        <v>399</v>
      </c>
      <c r="D53" s="90">
        <f>F44+F45+F47+F48+F50-D49-D52+F52</f>
        <v>116996.13301699552</v>
      </c>
      <c r="E53" s="92" t="s">
        <v>394</v>
      </c>
      <c r="F53" s="94">
        <f>F52</f>
        <v>1617.4422824841797</v>
      </c>
    </row>
    <row r="54" spans="3:6" ht="16" thickBot="1" x14ac:dyDescent="0.25">
      <c r="C54" s="89" t="s">
        <v>401</v>
      </c>
      <c r="D54" s="90"/>
      <c r="F54" s="91"/>
    </row>
    <row r="55" spans="3:6" ht="17" thickBot="1" x14ac:dyDescent="0.25">
      <c r="C55" s="92" t="s">
        <v>394</v>
      </c>
      <c r="D55" s="95">
        <f>D53</f>
        <v>116996.13301699552</v>
      </c>
      <c r="F55" s="96"/>
    </row>
    <row r="56" spans="3:6" ht="17" thickBot="1" x14ac:dyDescent="0.25">
      <c r="C56" s="92" t="s">
        <v>402</v>
      </c>
      <c r="D56" s="93">
        <f>D49+D52+D55+F46+F49</f>
        <v>249791.45567261381</v>
      </c>
      <c r="E56" s="92" t="s">
        <v>403</v>
      </c>
      <c r="F56" s="97">
        <f>F51+F53</f>
        <v>249791.45567261378</v>
      </c>
    </row>
    <row r="62" spans="3:6" ht="16" x14ac:dyDescent="0.2">
      <c r="E62" s="114" t="s">
        <v>424</v>
      </c>
    </row>
    <row r="64" spans="3:6" ht="17" thickBot="1" x14ac:dyDescent="0.25">
      <c r="C64" s="146" t="s">
        <v>423</v>
      </c>
      <c r="D64" s="146"/>
      <c r="E64" s="146"/>
      <c r="F64" s="146"/>
    </row>
    <row r="65" spans="3:6" ht="16" thickBot="1" x14ac:dyDescent="0.25">
      <c r="C65" s="84" t="s">
        <v>217</v>
      </c>
      <c r="D65" s="85"/>
      <c r="E65" s="84" t="s">
        <v>385</v>
      </c>
      <c r="F65" s="85"/>
    </row>
    <row r="66" spans="3:6" ht="16" x14ac:dyDescent="0.2">
      <c r="C66" s="86" t="s">
        <v>386</v>
      </c>
      <c r="D66" s="87"/>
      <c r="E66" t="s">
        <v>387</v>
      </c>
      <c r="F66" s="88">
        <f>F44</f>
        <v>148500</v>
      </c>
    </row>
    <row r="67" spans="3:6" x14ac:dyDescent="0.2">
      <c r="C67" s="89" t="s">
        <v>388</v>
      </c>
      <c r="D67" s="90">
        <f>D45</f>
        <v>63500</v>
      </c>
      <c r="E67" t="s">
        <v>425</v>
      </c>
      <c r="F67" s="91">
        <f>F45-SUM('Coûts &amp; variables'!E163:E174)</f>
        <v>45713.06746977396</v>
      </c>
    </row>
    <row r="68" spans="3:6" x14ac:dyDescent="0.2">
      <c r="C68" s="89" t="s">
        <v>390</v>
      </c>
      <c r="D68" s="90">
        <f>D46</f>
        <v>58000</v>
      </c>
      <c r="E68" t="s">
        <v>426</v>
      </c>
      <c r="F68" s="91">
        <f>SUM('Coûts &amp; variables'!E139:E174)</f>
        <v>44286.93253022607</v>
      </c>
    </row>
    <row r="69" spans="3:6" x14ac:dyDescent="0.2">
      <c r="C69" s="89" t="s">
        <v>404</v>
      </c>
      <c r="D69" s="90">
        <f>D47-('Coûts &amp; variables'!I134*12)</f>
        <v>-34990.260952380951</v>
      </c>
      <c r="E69" t="s">
        <v>419</v>
      </c>
      <c r="F69" s="91">
        <f>F47</f>
        <v>20000</v>
      </c>
    </row>
    <row r="70" spans="3:6" ht="16" thickBot="1" x14ac:dyDescent="0.25">
      <c r="C70" s="89"/>
      <c r="D70" s="90"/>
      <c r="E70" t="s">
        <v>393</v>
      </c>
      <c r="F70" s="91">
        <f>F48</f>
        <v>14850</v>
      </c>
    </row>
    <row r="71" spans="3:6" ht="17" thickBot="1" x14ac:dyDescent="0.25">
      <c r="C71" s="92" t="s">
        <v>394</v>
      </c>
      <c r="D71" s="93">
        <f>SUM(D67:D69)</f>
        <v>86509.739047619049</v>
      </c>
      <c r="E71" t="s">
        <v>405</v>
      </c>
      <c r="F71" s="91">
        <f>SUM('Résultat exploitation'!M23:M26)</f>
        <v>34005.151327948966</v>
      </c>
    </row>
    <row r="72" spans="3:6" ht="16" thickBot="1" x14ac:dyDescent="0.25">
      <c r="C72" s="89" t="s">
        <v>396</v>
      </c>
      <c r="D72" s="90">
        <f>D50</f>
        <v>14000</v>
      </c>
      <c r="E72" t="s">
        <v>397</v>
      </c>
      <c r="F72" s="91">
        <f>F50</f>
        <v>2000</v>
      </c>
    </row>
    <row r="73" spans="3:6" ht="17" thickBot="1" x14ac:dyDescent="0.25">
      <c r="C73" s="89" t="s">
        <v>18</v>
      </c>
      <c r="D73" s="90">
        <f>SUM('Coûts &amp; variables'!K69:K80)*0.2</f>
        <v>27756.306978813282</v>
      </c>
      <c r="E73" s="92" t="s">
        <v>394</v>
      </c>
      <c r="F73" s="93">
        <f>SUM(F66:F72)</f>
        <v>309355.15132794896</v>
      </c>
    </row>
    <row r="74" spans="3:6" ht="17" thickBot="1" x14ac:dyDescent="0.25">
      <c r="C74" s="92" t="s">
        <v>394</v>
      </c>
      <c r="D74" s="93">
        <f>SUM(D72:D73)</f>
        <v>41756.306978813285</v>
      </c>
      <c r="E74" t="s">
        <v>398</v>
      </c>
      <c r="F74" s="91">
        <f>D73*0.08</f>
        <v>2220.5045583050628</v>
      </c>
    </row>
    <row r="75" spans="3:6" ht="17" thickBot="1" x14ac:dyDescent="0.25">
      <c r="C75" s="89" t="s">
        <v>399</v>
      </c>
      <c r="D75" s="90">
        <f>F66+F67+F69+F70+F72-D71-D74+F74</f>
        <v>105017.52600164669</v>
      </c>
      <c r="E75" s="92" t="s">
        <v>394</v>
      </c>
      <c r="F75" s="94">
        <f>F74</f>
        <v>2220.5045583050628</v>
      </c>
    </row>
    <row r="76" spans="3:6" ht="16" thickBot="1" x14ac:dyDescent="0.25">
      <c r="C76" s="89" t="s">
        <v>401</v>
      </c>
      <c r="D76" s="90"/>
      <c r="F76" s="91"/>
    </row>
    <row r="77" spans="3:6" ht="17" thickBot="1" x14ac:dyDescent="0.25">
      <c r="C77" s="92" t="s">
        <v>394</v>
      </c>
      <c r="D77" s="95">
        <f>D75</f>
        <v>105017.52600164669</v>
      </c>
      <c r="F77" s="96"/>
    </row>
    <row r="78" spans="3:6" ht="17" thickBot="1" x14ac:dyDescent="0.25">
      <c r="C78" s="92" t="s">
        <v>402</v>
      </c>
      <c r="D78" s="93">
        <f>D71+D74+D77+F71+F68</f>
        <v>311575.65588625404</v>
      </c>
      <c r="E78" s="92" t="s">
        <v>403</v>
      </c>
      <c r="F78" s="97">
        <f>F73+F75</f>
        <v>311575.65588625404</v>
      </c>
    </row>
    <row r="85" spans="3:6" ht="16" x14ac:dyDescent="0.2">
      <c r="C85" s="150"/>
      <c r="D85" s="150"/>
      <c r="E85" s="150"/>
      <c r="F85" s="150"/>
    </row>
    <row r="86" spans="3:6" ht="16" x14ac:dyDescent="0.2">
      <c r="C86" s="151"/>
      <c r="D86" s="151"/>
      <c r="E86" s="151"/>
      <c r="F86" s="151"/>
    </row>
    <row r="87" spans="3:6" ht="16" x14ac:dyDescent="0.2">
      <c r="C87" s="82"/>
      <c r="D87" s="50"/>
      <c r="E87" s="39"/>
      <c r="F87" s="50"/>
    </row>
    <row r="88" spans="3:6" ht="16" x14ac:dyDescent="0.2">
      <c r="C88" s="39"/>
      <c r="D88" s="50"/>
      <c r="E88" s="39"/>
      <c r="F88" s="50"/>
    </row>
    <row r="89" spans="3:6" ht="16" x14ac:dyDescent="0.2">
      <c r="C89" s="39"/>
      <c r="D89" s="50"/>
      <c r="E89" s="39"/>
      <c r="F89" s="50"/>
    </row>
    <row r="90" spans="3:6" ht="16" x14ac:dyDescent="0.2">
      <c r="C90" s="39"/>
      <c r="D90" s="50"/>
      <c r="E90" s="39"/>
      <c r="F90" s="50"/>
    </row>
    <row r="91" spans="3:6" ht="16" x14ac:dyDescent="0.2">
      <c r="C91" s="103"/>
      <c r="D91" s="104"/>
      <c r="E91" s="39"/>
      <c r="F91" s="50"/>
    </row>
    <row r="92" spans="3:6" ht="16" x14ac:dyDescent="0.2">
      <c r="C92" s="39"/>
      <c r="D92" s="50"/>
      <c r="E92" s="39"/>
      <c r="F92" s="50"/>
    </row>
    <row r="93" spans="3:6" ht="16" x14ac:dyDescent="0.2">
      <c r="C93" s="39"/>
      <c r="D93" s="50"/>
      <c r="E93" s="103"/>
      <c r="F93" s="104"/>
    </row>
    <row r="94" spans="3:6" ht="16" x14ac:dyDescent="0.2">
      <c r="C94" s="103"/>
      <c r="D94" s="104"/>
      <c r="E94" s="39"/>
      <c r="F94" s="50"/>
    </row>
    <row r="95" spans="3:6" ht="16" x14ac:dyDescent="0.2">
      <c r="C95" s="39"/>
      <c r="D95" s="50"/>
      <c r="E95" s="103"/>
      <c r="F95" s="105"/>
    </row>
    <row r="96" spans="3:6" ht="16" x14ac:dyDescent="0.2">
      <c r="C96" s="39"/>
      <c r="D96" s="50"/>
      <c r="E96" s="39"/>
      <c r="F96" s="50"/>
    </row>
    <row r="97" spans="3:6" ht="16" x14ac:dyDescent="0.2">
      <c r="C97" s="103"/>
      <c r="D97" s="105"/>
      <c r="E97" s="39"/>
      <c r="F97" s="39"/>
    </row>
    <row r="98" spans="3:6" ht="16" x14ac:dyDescent="0.2">
      <c r="C98" s="103"/>
      <c r="D98" s="104"/>
      <c r="E98" s="103"/>
      <c r="F98" s="104"/>
    </row>
    <row r="99" spans="3:6" ht="16" x14ac:dyDescent="0.2">
      <c r="C99" s="39"/>
      <c r="D99" s="39"/>
      <c r="E99" s="50"/>
      <c r="F99" s="39"/>
    </row>
    <row r="100" spans="3:6" ht="16" x14ac:dyDescent="0.2">
      <c r="C100" s="144"/>
      <c r="D100" s="144"/>
      <c r="E100" s="144"/>
      <c r="F100" s="144"/>
    </row>
    <row r="101" spans="3:6" x14ac:dyDescent="0.2">
      <c r="C101" s="145"/>
      <c r="D101" s="145"/>
      <c r="E101" s="145"/>
      <c r="F101" s="145"/>
    </row>
    <row r="102" spans="3:6" ht="16" x14ac:dyDescent="0.2">
      <c r="C102" s="82"/>
      <c r="D102" s="50"/>
      <c r="E102" s="39"/>
      <c r="F102" s="50"/>
    </row>
    <row r="103" spans="3:6" ht="19" x14ac:dyDescent="0.25">
      <c r="C103" s="152"/>
      <c r="D103" s="152"/>
      <c r="E103" s="152"/>
      <c r="F103" s="152"/>
    </row>
    <row r="104" spans="3:6" ht="16" x14ac:dyDescent="0.2">
      <c r="C104" s="151"/>
      <c r="D104" s="151"/>
      <c r="E104" s="151"/>
      <c r="F104" s="151"/>
    </row>
    <row r="105" spans="3:6" ht="16" x14ac:dyDescent="0.2">
      <c r="C105" s="1"/>
      <c r="D105" s="107"/>
      <c r="F105" s="108"/>
    </row>
    <row r="106" spans="3:6" x14ac:dyDescent="0.2">
      <c r="D106" s="107"/>
      <c r="F106" s="108"/>
    </row>
    <row r="107" spans="3:6" ht="16" x14ac:dyDescent="0.2">
      <c r="D107" s="107"/>
      <c r="E107" s="39"/>
      <c r="F107" s="108"/>
    </row>
    <row r="108" spans="3:6" ht="16" x14ac:dyDescent="0.2">
      <c r="C108" s="109"/>
      <c r="D108" s="110"/>
      <c r="F108" s="108"/>
    </row>
    <row r="109" spans="3:6" x14ac:dyDescent="0.2">
      <c r="D109" s="107"/>
      <c r="F109" s="108"/>
    </row>
    <row r="110" spans="3:6" x14ac:dyDescent="0.2">
      <c r="D110" s="107"/>
      <c r="F110" s="108"/>
    </row>
    <row r="111" spans="3:6" ht="16" x14ac:dyDescent="0.2">
      <c r="C111" s="109"/>
      <c r="D111" s="110"/>
      <c r="E111" s="109"/>
      <c r="F111" s="110"/>
    </row>
    <row r="112" spans="3:6" x14ac:dyDescent="0.2">
      <c r="D112" s="107"/>
      <c r="F112" s="108"/>
    </row>
    <row r="113" spans="3:6" ht="16" x14ac:dyDescent="0.2">
      <c r="D113" s="107"/>
      <c r="E113" s="109"/>
      <c r="F113" s="111"/>
    </row>
    <row r="114" spans="3:6" x14ac:dyDescent="0.2">
      <c r="D114" s="107"/>
      <c r="F114" s="108"/>
    </row>
    <row r="115" spans="3:6" ht="16" x14ac:dyDescent="0.2">
      <c r="C115" s="109"/>
      <c r="D115" s="112"/>
    </row>
    <row r="116" spans="3:6" ht="16" x14ac:dyDescent="0.2">
      <c r="C116" s="109"/>
      <c r="D116" s="110"/>
      <c r="E116" s="109"/>
      <c r="F116" s="113"/>
    </row>
    <row r="118" spans="3:6" x14ac:dyDescent="0.2">
      <c r="E118" s="107"/>
    </row>
    <row r="123" spans="3:6" ht="19" x14ac:dyDescent="0.25">
      <c r="C123" s="106"/>
      <c r="D123" s="106"/>
      <c r="E123" s="106"/>
      <c r="F123" s="106"/>
    </row>
    <row r="124" spans="3:6" ht="16" x14ac:dyDescent="0.2">
      <c r="C124" s="151"/>
      <c r="D124" s="151"/>
      <c r="E124" s="151"/>
      <c r="F124" s="151"/>
    </row>
    <row r="125" spans="3:6" ht="16" x14ac:dyDescent="0.2">
      <c r="C125" s="1"/>
      <c r="D125" s="107"/>
      <c r="F125" s="108"/>
    </row>
    <row r="126" spans="3:6" x14ac:dyDescent="0.2">
      <c r="D126" s="107"/>
      <c r="F126" s="108"/>
    </row>
    <row r="127" spans="3:6" ht="16" x14ac:dyDescent="0.2">
      <c r="D127" s="107"/>
      <c r="E127" s="39"/>
      <c r="F127" s="108"/>
    </row>
    <row r="128" spans="3:6" ht="16" x14ac:dyDescent="0.2">
      <c r="C128" s="109"/>
      <c r="D128" s="110"/>
      <c r="F128" s="108"/>
    </row>
    <row r="129" spans="3:6" x14ac:dyDescent="0.2">
      <c r="D129" s="107"/>
      <c r="F129" s="108"/>
    </row>
    <row r="130" spans="3:6" x14ac:dyDescent="0.2">
      <c r="D130" s="107"/>
      <c r="F130" s="108"/>
    </row>
    <row r="131" spans="3:6" ht="16" x14ac:dyDescent="0.2">
      <c r="C131" s="109"/>
      <c r="D131" s="110"/>
      <c r="E131" s="109"/>
      <c r="F131" s="110"/>
    </row>
    <row r="132" spans="3:6" x14ac:dyDescent="0.2">
      <c r="D132" s="107"/>
      <c r="F132" s="108"/>
    </row>
    <row r="133" spans="3:6" ht="16" x14ac:dyDescent="0.2">
      <c r="D133" s="107"/>
      <c r="E133" s="109"/>
      <c r="F133" s="111"/>
    </row>
    <row r="134" spans="3:6" x14ac:dyDescent="0.2">
      <c r="D134" s="107"/>
      <c r="F134" s="108"/>
    </row>
    <row r="135" spans="3:6" ht="16" x14ac:dyDescent="0.2">
      <c r="C135" s="109"/>
      <c r="D135" s="112"/>
    </row>
    <row r="136" spans="3:6" ht="16" x14ac:dyDescent="0.2">
      <c r="C136" s="109"/>
      <c r="D136" s="110"/>
      <c r="E136" s="109"/>
      <c r="F136" s="113"/>
    </row>
    <row r="138" spans="3:6" x14ac:dyDescent="0.2">
      <c r="E138" s="107"/>
    </row>
    <row r="144" spans="3:6" ht="19" x14ac:dyDescent="0.25">
      <c r="C144" s="106"/>
      <c r="D144" s="106"/>
      <c r="E144" s="106"/>
      <c r="F144" s="106"/>
    </row>
    <row r="145" spans="3:6" ht="16" x14ac:dyDescent="0.2">
      <c r="C145" s="151"/>
      <c r="D145" s="151"/>
      <c r="E145" s="151"/>
      <c r="F145" s="151"/>
    </row>
    <row r="146" spans="3:6" ht="16" x14ac:dyDescent="0.2">
      <c r="C146" s="1"/>
      <c r="D146" s="107"/>
      <c r="F146" s="108"/>
    </row>
    <row r="147" spans="3:6" x14ac:dyDescent="0.2">
      <c r="D147" s="107"/>
      <c r="F147" s="108"/>
    </row>
    <row r="148" spans="3:6" ht="16" x14ac:dyDescent="0.2">
      <c r="D148" s="107"/>
      <c r="E148" s="39"/>
      <c r="F148" s="108"/>
    </row>
    <row r="149" spans="3:6" ht="16" x14ac:dyDescent="0.2">
      <c r="C149" s="109"/>
      <c r="D149" s="110"/>
      <c r="F149" s="108"/>
    </row>
    <row r="150" spans="3:6" x14ac:dyDescent="0.2">
      <c r="D150" s="107"/>
      <c r="F150" s="108"/>
    </row>
    <row r="151" spans="3:6" x14ac:dyDescent="0.2">
      <c r="D151" s="107"/>
      <c r="F151" s="108"/>
    </row>
    <row r="152" spans="3:6" ht="16" x14ac:dyDescent="0.2">
      <c r="C152" s="109"/>
      <c r="D152" s="110"/>
      <c r="E152" s="109"/>
      <c r="F152" s="110"/>
    </row>
    <row r="153" spans="3:6" x14ac:dyDescent="0.2">
      <c r="D153" s="107"/>
      <c r="F153" s="108"/>
    </row>
    <row r="154" spans="3:6" ht="16" x14ac:dyDescent="0.2">
      <c r="D154" s="107"/>
      <c r="E154" s="109"/>
      <c r="F154" s="111"/>
    </row>
    <row r="155" spans="3:6" ht="16" x14ac:dyDescent="0.2">
      <c r="C155" s="109"/>
      <c r="D155" s="112"/>
      <c r="F155" s="108"/>
    </row>
    <row r="156" spans="3:6" ht="16" x14ac:dyDescent="0.2">
      <c r="C156" s="109"/>
      <c r="D156" s="110"/>
    </row>
    <row r="157" spans="3:6" ht="16" x14ac:dyDescent="0.2">
      <c r="E157" s="109"/>
      <c r="F157" s="113"/>
    </row>
  </sheetData>
  <mergeCells count="24">
    <mergeCell ref="C145:D145"/>
    <mergeCell ref="E145:F145"/>
    <mergeCell ref="C103:F103"/>
    <mergeCell ref="C104:D104"/>
    <mergeCell ref="E104:F104"/>
    <mergeCell ref="C124:D124"/>
    <mergeCell ref="E124:F124"/>
    <mergeCell ref="C85:F85"/>
    <mergeCell ref="C86:D86"/>
    <mergeCell ref="E86:F86"/>
    <mergeCell ref="C100:F100"/>
    <mergeCell ref="C101:D101"/>
    <mergeCell ref="E101:F101"/>
    <mergeCell ref="C64:F64"/>
    <mergeCell ref="C21:F21"/>
    <mergeCell ref="C22:D22"/>
    <mergeCell ref="E22:F22"/>
    <mergeCell ref="C42:F42"/>
    <mergeCell ref="C3:F3"/>
    <mergeCell ref="C4:D4"/>
    <mergeCell ref="E4:F4"/>
    <mergeCell ref="C18:F18"/>
    <mergeCell ref="C19:D19"/>
    <mergeCell ref="E19:F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C3020-B0B7-3741-8A89-156206878EDB}">
  <dimension ref="A1:AI391"/>
  <sheetViews>
    <sheetView topLeftCell="A142" zoomScale="75" workbookViewId="0">
      <selection activeCell="A180" sqref="A180:A181"/>
    </sheetView>
  </sheetViews>
  <sheetFormatPr baseColWidth="10" defaultRowHeight="15" x14ac:dyDescent="0.2"/>
  <cols>
    <col min="1" max="18" width="17.33203125" customWidth="1"/>
  </cols>
  <sheetData>
    <row r="1" spans="1:35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3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35" ht="19" x14ac:dyDescent="0.25">
      <c r="A3" s="127" t="s">
        <v>1</v>
      </c>
      <c r="B3" s="127"/>
      <c r="C3" s="127"/>
      <c r="D3" s="12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35" ht="16" x14ac:dyDescent="0.2">
      <c r="A4" s="57" t="s">
        <v>4</v>
      </c>
      <c r="B4" s="57" t="s">
        <v>153</v>
      </c>
      <c r="C4" s="57" t="s">
        <v>148</v>
      </c>
      <c r="D4" s="57" t="s">
        <v>134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1:35" ht="16" x14ac:dyDescent="0.2">
      <c r="A5" s="11" t="s">
        <v>299</v>
      </c>
      <c r="B5" s="54">
        <f t="shared" ref="B5:B28" si="0">C5*D5</f>
        <v>0.60899999999999999</v>
      </c>
      <c r="C5" s="54">
        <v>0.7</v>
      </c>
      <c r="D5" s="54">
        <v>0.87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</row>
    <row r="6" spans="1:35" ht="16" x14ac:dyDescent="0.2">
      <c r="A6" s="11" t="s">
        <v>300</v>
      </c>
      <c r="B6" s="54">
        <f t="shared" si="0"/>
        <v>0.60899999999999999</v>
      </c>
      <c r="C6" s="54">
        <v>0.7</v>
      </c>
      <c r="D6" s="54">
        <v>0.87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16" x14ac:dyDescent="0.2">
      <c r="A7" s="11" t="s">
        <v>301</v>
      </c>
      <c r="B7" s="54">
        <f t="shared" si="0"/>
        <v>0.60899999999999999</v>
      </c>
      <c r="C7" s="54">
        <v>0.7</v>
      </c>
      <c r="D7" s="54">
        <v>0.87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</row>
    <row r="8" spans="1:35" ht="16" x14ac:dyDescent="0.2">
      <c r="A8" s="11" t="s">
        <v>302</v>
      </c>
      <c r="B8" s="54">
        <f t="shared" si="0"/>
        <v>0.60899999999999999</v>
      </c>
      <c r="C8" s="54">
        <v>0.7</v>
      </c>
      <c r="D8" s="54">
        <v>0.87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</row>
    <row r="9" spans="1:35" ht="16" x14ac:dyDescent="0.2">
      <c r="A9" s="11" t="s">
        <v>303</v>
      </c>
      <c r="B9" s="54">
        <f t="shared" si="0"/>
        <v>0.60899999999999999</v>
      </c>
      <c r="C9" s="54">
        <v>0.7</v>
      </c>
      <c r="D9" s="54">
        <v>0.87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</row>
    <row r="10" spans="1:35" ht="16" x14ac:dyDescent="0.2">
      <c r="A10" s="11" t="s">
        <v>304</v>
      </c>
      <c r="B10" s="54">
        <f t="shared" si="0"/>
        <v>0.60899999999999999</v>
      </c>
      <c r="C10" s="54">
        <v>0.7</v>
      </c>
      <c r="D10" s="54">
        <v>0.87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</row>
    <row r="11" spans="1:35" ht="16" x14ac:dyDescent="0.2">
      <c r="A11" s="11" t="s">
        <v>305</v>
      </c>
      <c r="B11" s="54">
        <f t="shared" si="0"/>
        <v>0.60899999999999999</v>
      </c>
      <c r="C11" s="54">
        <v>0.7</v>
      </c>
      <c r="D11" s="54">
        <v>0.87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</row>
    <row r="12" spans="1:35" ht="16" x14ac:dyDescent="0.2">
      <c r="A12" s="11" t="s">
        <v>306</v>
      </c>
      <c r="B12" s="54">
        <f t="shared" si="0"/>
        <v>0.60899999999999999</v>
      </c>
      <c r="C12" s="54">
        <v>0.7</v>
      </c>
      <c r="D12" s="54">
        <v>0.87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</row>
    <row r="13" spans="1:35" ht="16" x14ac:dyDescent="0.2">
      <c r="A13" s="11" t="s">
        <v>307</v>
      </c>
      <c r="B13" s="54">
        <f t="shared" si="0"/>
        <v>0.60899999999999999</v>
      </c>
      <c r="C13" s="54">
        <v>0.7</v>
      </c>
      <c r="D13" s="54">
        <v>0.87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</row>
    <row r="14" spans="1:35" ht="16" x14ac:dyDescent="0.2">
      <c r="A14" s="11" t="s">
        <v>308</v>
      </c>
      <c r="B14" s="54">
        <f t="shared" si="0"/>
        <v>0.60899999999999999</v>
      </c>
      <c r="C14" s="54">
        <v>0.7</v>
      </c>
      <c r="D14" s="54">
        <v>0.87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</row>
    <row r="15" spans="1:35" ht="16" x14ac:dyDescent="0.2">
      <c r="A15" s="11" t="s">
        <v>309</v>
      </c>
      <c r="B15" s="54">
        <f t="shared" si="0"/>
        <v>0.60899999999999999</v>
      </c>
      <c r="C15" s="54">
        <v>0.7</v>
      </c>
      <c r="D15" s="54">
        <v>0.87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</row>
    <row r="16" spans="1:35" ht="16" x14ac:dyDescent="0.2">
      <c r="A16" s="11" t="s">
        <v>310</v>
      </c>
      <c r="B16" s="54">
        <f t="shared" si="0"/>
        <v>0.60899999999999999</v>
      </c>
      <c r="C16" s="54">
        <v>0.7</v>
      </c>
      <c r="D16" s="54">
        <v>0.87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</row>
    <row r="17" spans="1:35" ht="16" x14ac:dyDescent="0.2">
      <c r="A17" s="11" t="s">
        <v>318</v>
      </c>
      <c r="B17" s="54">
        <f t="shared" si="0"/>
        <v>0.60899999999999999</v>
      </c>
      <c r="C17" s="54">
        <v>0.7</v>
      </c>
      <c r="D17" s="54">
        <v>0.87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5" ht="16" x14ac:dyDescent="0.2">
      <c r="A18" s="11" t="s">
        <v>319</v>
      </c>
      <c r="B18" s="54">
        <f t="shared" si="0"/>
        <v>0.60899999999999999</v>
      </c>
      <c r="C18" s="54">
        <v>0.7</v>
      </c>
      <c r="D18" s="54">
        <v>0.87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</row>
    <row r="19" spans="1:35" ht="16" x14ac:dyDescent="0.2">
      <c r="A19" s="11" t="s">
        <v>320</v>
      </c>
      <c r="B19" s="54">
        <f t="shared" si="0"/>
        <v>0.60899999999999999</v>
      </c>
      <c r="C19" s="54">
        <v>0.7</v>
      </c>
      <c r="D19" s="54">
        <v>0.87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6" x14ac:dyDescent="0.2">
      <c r="A20" s="11" t="s">
        <v>321</v>
      </c>
      <c r="B20" s="54">
        <f t="shared" si="0"/>
        <v>0.60899999999999999</v>
      </c>
      <c r="C20" s="54">
        <v>0.7</v>
      </c>
      <c r="D20" s="54">
        <v>0.87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6" x14ac:dyDescent="0.2">
      <c r="A21" s="11" t="s">
        <v>322</v>
      </c>
      <c r="B21" s="54">
        <f t="shared" si="0"/>
        <v>0.60899999999999999</v>
      </c>
      <c r="C21" s="54">
        <v>0.7</v>
      </c>
      <c r="D21" s="54">
        <v>0.87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35" ht="16" x14ac:dyDescent="0.2">
      <c r="A22" s="11" t="s">
        <v>323</v>
      </c>
      <c r="B22" s="54">
        <f t="shared" si="0"/>
        <v>0.60899999999999999</v>
      </c>
      <c r="C22" s="54">
        <v>0.7</v>
      </c>
      <c r="D22" s="54">
        <v>0.87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</row>
    <row r="23" spans="1:35" ht="16" x14ac:dyDescent="0.2">
      <c r="A23" s="11" t="s">
        <v>324</v>
      </c>
      <c r="B23" s="54">
        <f t="shared" si="0"/>
        <v>0.60899999999999999</v>
      </c>
      <c r="C23" s="54">
        <v>0.7</v>
      </c>
      <c r="D23" s="54">
        <v>0.87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</row>
    <row r="24" spans="1:35" ht="16" x14ac:dyDescent="0.2">
      <c r="A24" s="11" t="s">
        <v>325</v>
      </c>
      <c r="B24" s="54">
        <f t="shared" si="0"/>
        <v>0.60899999999999999</v>
      </c>
      <c r="C24" s="54">
        <v>0.7</v>
      </c>
      <c r="D24" s="54">
        <v>0.87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</row>
    <row r="25" spans="1:35" ht="16" x14ac:dyDescent="0.2">
      <c r="A25" s="11" t="s">
        <v>326</v>
      </c>
      <c r="B25" s="54">
        <f t="shared" si="0"/>
        <v>0.60899999999999999</v>
      </c>
      <c r="C25" s="54">
        <v>0.7</v>
      </c>
      <c r="D25" s="54">
        <v>0.87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</row>
    <row r="26" spans="1:35" ht="16" x14ac:dyDescent="0.2">
      <c r="A26" s="11" t="s">
        <v>327</v>
      </c>
      <c r="B26" s="54">
        <f t="shared" si="0"/>
        <v>0.60899999999999999</v>
      </c>
      <c r="C26" s="54">
        <v>0.7</v>
      </c>
      <c r="D26" s="54">
        <v>0.87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</row>
    <row r="27" spans="1:35" ht="16" x14ac:dyDescent="0.2">
      <c r="A27" s="11" t="s">
        <v>328</v>
      </c>
      <c r="B27" s="54">
        <f t="shared" si="0"/>
        <v>0.60899999999999999</v>
      </c>
      <c r="C27" s="54">
        <v>0.7</v>
      </c>
      <c r="D27" s="54">
        <v>0.87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</row>
    <row r="28" spans="1:35" ht="16" x14ac:dyDescent="0.2">
      <c r="A28" s="11" t="s">
        <v>329</v>
      </c>
      <c r="B28" s="54">
        <f t="shared" si="0"/>
        <v>0.60899999999999999</v>
      </c>
      <c r="C28" s="54">
        <v>0.7</v>
      </c>
      <c r="D28" s="54">
        <v>0.87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</row>
    <row r="29" spans="1:35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</row>
    <row r="30" spans="1:35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</row>
    <row r="31" spans="1:35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</row>
    <row r="32" spans="1:35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pans="1:35" ht="19" x14ac:dyDescent="0.25">
      <c r="A33" s="126" t="s">
        <v>3</v>
      </c>
      <c r="B33" s="12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</row>
    <row r="34" spans="1:35" ht="16" x14ac:dyDescent="0.2">
      <c r="A34" s="11" t="s">
        <v>4</v>
      </c>
      <c r="B34" s="11" t="s">
        <v>5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</row>
    <row r="35" spans="1:35" ht="16" x14ac:dyDescent="0.2">
      <c r="A35" s="54" t="s">
        <v>6</v>
      </c>
      <c r="B35" s="54">
        <v>0.88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</row>
    <row r="36" spans="1:35" ht="16" x14ac:dyDescent="0.2">
      <c r="A36" s="54" t="s">
        <v>7</v>
      </c>
      <c r="B36" s="54">
        <v>0.93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</row>
    <row r="37" spans="1:35" ht="16" x14ac:dyDescent="0.2">
      <c r="A37" s="54" t="s">
        <v>8</v>
      </c>
      <c r="B37" s="54">
        <v>1.03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</row>
    <row r="38" spans="1:35" ht="16" x14ac:dyDescent="0.2">
      <c r="A38" s="54" t="s">
        <v>9</v>
      </c>
      <c r="B38" s="54">
        <v>1.08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</row>
    <row r="39" spans="1:35" ht="16" x14ac:dyDescent="0.2">
      <c r="A39" s="54" t="s">
        <v>10</v>
      </c>
      <c r="B39" s="54">
        <v>1.1299999999999999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</row>
    <row r="40" spans="1:35" ht="16" x14ac:dyDescent="0.2">
      <c r="A40" s="54" t="s">
        <v>11</v>
      </c>
      <c r="B40" s="54">
        <v>1.08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</row>
    <row r="41" spans="1:35" ht="16" x14ac:dyDescent="0.2">
      <c r="A41" s="54" t="s">
        <v>12</v>
      </c>
      <c r="B41" s="54">
        <v>0.88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</row>
    <row r="42" spans="1:35" ht="16" x14ac:dyDescent="0.2">
      <c r="A42" s="54" t="s">
        <v>13</v>
      </c>
      <c r="B42" s="54">
        <v>0.77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</row>
    <row r="43" spans="1:35" ht="16" x14ac:dyDescent="0.2">
      <c r="A43" s="54" t="s">
        <v>14</v>
      </c>
      <c r="B43" s="54">
        <v>1.03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</row>
    <row r="44" spans="1:35" ht="16" x14ac:dyDescent="0.2">
      <c r="A44" s="54" t="s">
        <v>15</v>
      </c>
      <c r="B44" s="54">
        <v>1.08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</row>
    <row r="45" spans="1:35" ht="16" x14ac:dyDescent="0.2">
      <c r="A45" s="54" t="s">
        <v>16</v>
      </c>
      <c r="B45" s="54">
        <v>0.93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</row>
    <row r="46" spans="1:35" ht="16" x14ac:dyDescent="0.2">
      <c r="A46" s="54" t="s">
        <v>17</v>
      </c>
      <c r="B46" s="54">
        <v>1.18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</row>
    <row r="47" spans="1:35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</row>
    <row r="48" spans="1:35" ht="16" x14ac:dyDescent="0.2">
      <c r="A48" s="54" t="s">
        <v>330</v>
      </c>
      <c r="B48" s="54">
        <f>CA!B11*(1+'5ans'!B52)</f>
        <v>38.517981692739077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</row>
    <row r="49" spans="1:35" ht="16" x14ac:dyDescent="0.2">
      <c r="A49" s="54" t="s">
        <v>331</v>
      </c>
      <c r="B49" s="54">
        <f>CA!B12*(1+'5ans'!B52)</f>
        <v>67.134334428165303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</row>
    <row r="50" spans="1:35" ht="16" x14ac:dyDescent="0.2">
      <c r="A50" s="54" t="s">
        <v>332</v>
      </c>
      <c r="B50" s="54">
        <f>B48*(1+B52)</f>
        <v>39.673521143521249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</row>
    <row r="51" spans="1:35" ht="16" x14ac:dyDescent="0.2">
      <c r="A51" s="54" t="s">
        <v>333</v>
      </c>
      <c r="B51" s="54">
        <f>B49*(1+B52)</f>
        <v>69.14836446101026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</row>
    <row r="52" spans="1:35" ht="16" x14ac:dyDescent="0.2">
      <c r="A52" s="54" t="s">
        <v>167</v>
      </c>
      <c r="B52" s="54">
        <v>0.03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</row>
    <row r="53" spans="1:35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</row>
    <row r="54" spans="1:35" ht="19" x14ac:dyDescent="0.25">
      <c r="A54" s="126" t="s">
        <v>286</v>
      </c>
      <c r="B54" s="127"/>
      <c r="C54" s="127"/>
      <c r="D54" s="127"/>
      <c r="E54" s="127"/>
      <c r="F54" s="127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</row>
    <row r="55" spans="1:35" ht="16" x14ac:dyDescent="0.2">
      <c r="A55" s="11" t="s">
        <v>4</v>
      </c>
      <c r="B55" s="57" t="s">
        <v>135</v>
      </c>
      <c r="C55" s="57" t="s">
        <v>136</v>
      </c>
      <c r="D55" s="57" t="s">
        <v>137</v>
      </c>
      <c r="E55" s="57" t="s">
        <v>138</v>
      </c>
      <c r="F55" s="57" t="s">
        <v>139</v>
      </c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</row>
    <row r="56" spans="1:35" ht="16" x14ac:dyDescent="0.2">
      <c r="A56" s="54" t="s">
        <v>299</v>
      </c>
      <c r="B56" s="54">
        <f>'5ans'!B5*CA!$B$14*CA!B35</f>
        <v>327.98303999999996</v>
      </c>
      <c r="C56" s="54">
        <f>'5ans'!C5*CA!$B$14*CA!$B$6*CA!B35</f>
        <v>490.08959999999996</v>
      </c>
      <c r="D56" s="54">
        <f>B56*$B$48</f>
        <v>12633.244730248907</v>
      </c>
      <c r="E56" s="54">
        <f>C56*$B$49</f>
        <v>32901.83910616576</v>
      </c>
      <c r="F56" s="54">
        <f>D56+E56</f>
        <v>45535.083836414669</v>
      </c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</row>
    <row r="57" spans="1:35" ht="16" x14ac:dyDescent="0.2">
      <c r="A57" s="54" t="s">
        <v>300</v>
      </c>
      <c r="B57" s="54">
        <f>'5ans'!B6*CA!$B$14*CA!B36</f>
        <v>346.61843999999996</v>
      </c>
      <c r="C57" s="54">
        <f>'5ans'!C6*CA!$B$14*CA!$B$6*CA!B36</f>
        <v>517.93560000000002</v>
      </c>
      <c r="D57" s="54">
        <f t="shared" ref="D57:D67" si="1">B57*$B$48</f>
        <v>13351.042726285777</v>
      </c>
      <c r="E57" s="54">
        <f t="shared" ref="E57:E67" si="2">C57*$B$49</f>
        <v>34771.261782652451</v>
      </c>
      <c r="F57" s="54">
        <f t="shared" ref="F57:F79" si="3">D57+E57</f>
        <v>48122.304508938229</v>
      </c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</row>
    <row r="58" spans="1:35" ht="16" x14ac:dyDescent="0.2">
      <c r="A58" s="54" t="s">
        <v>301</v>
      </c>
      <c r="B58" s="54">
        <f>'5ans'!B7*CA!$B$14*CA!B37</f>
        <v>383.88923999999997</v>
      </c>
      <c r="C58" s="54">
        <f>'5ans'!C7*CA!$B$14*CA!$B$6*CA!B37</f>
        <v>573.62760000000003</v>
      </c>
      <c r="D58" s="54">
        <f t="shared" si="1"/>
        <v>14786.638718359516</v>
      </c>
      <c r="E58" s="54">
        <f t="shared" si="2"/>
        <v>38510.10713562584</v>
      </c>
      <c r="F58" s="54">
        <f t="shared" si="3"/>
        <v>53296.745853985354</v>
      </c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</row>
    <row r="59" spans="1:35" ht="16" x14ac:dyDescent="0.2">
      <c r="A59" s="54" t="s">
        <v>302</v>
      </c>
      <c r="B59" s="54">
        <f>'5ans'!B8*CA!$B$14*CA!B38</f>
        <v>402.52463999999998</v>
      </c>
      <c r="C59" s="54">
        <f>'5ans'!C8*CA!$B$14*CA!$B$6*CA!B38</f>
        <v>601.47360000000003</v>
      </c>
      <c r="D59" s="54">
        <f t="shared" si="1"/>
        <v>15504.436714396386</v>
      </c>
      <c r="E59" s="54">
        <f t="shared" si="2"/>
        <v>40379.529812112531</v>
      </c>
      <c r="F59" s="54">
        <f t="shared" si="3"/>
        <v>55883.966526508913</v>
      </c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</row>
    <row r="60" spans="1:35" ht="16" x14ac:dyDescent="0.2">
      <c r="A60" s="54" t="s">
        <v>303</v>
      </c>
      <c r="B60" s="54">
        <f>'5ans'!B9*CA!$B$14*CA!B39</f>
        <v>421.16003999999992</v>
      </c>
      <c r="C60" s="54">
        <f>'5ans'!C9*CA!$B$14*CA!$B$6*CA!B39</f>
        <v>629.31959999999992</v>
      </c>
      <c r="D60" s="54">
        <f t="shared" si="1"/>
        <v>16222.234710433255</v>
      </c>
      <c r="E60" s="54">
        <f t="shared" si="2"/>
        <v>42248.952488599214</v>
      </c>
      <c r="F60" s="54">
        <f t="shared" si="3"/>
        <v>58471.187199032473</v>
      </c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</row>
    <row r="61" spans="1:35" ht="16" x14ac:dyDescent="0.2">
      <c r="A61" s="54" t="s">
        <v>304</v>
      </c>
      <c r="B61" s="54">
        <f>'5ans'!B10*CA!$B$14*CA!B40</f>
        <v>402.52463999999998</v>
      </c>
      <c r="C61" s="54">
        <f>'5ans'!C10*CA!$B$14*CA!$B$6*CA!B40</f>
        <v>601.47360000000003</v>
      </c>
      <c r="D61" s="54">
        <f t="shared" si="1"/>
        <v>15504.436714396386</v>
      </c>
      <c r="E61" s="54">
        <f t="shared" si="2"/>
        <v>40379.529812112531</v>
      </c>
      <c r="F61" s="54">
        <f t="shared" si="3"/>
        <v>55883.966526508913</v>
      </c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</row>
    <row r="62" spans="1:35" ht="16" x14ac:dyDescent="0.2">
      <c r="A62" s="54" t="s">
        <v>305</v>
      </c>
      <c r="B62" s="54">
        <f>'5ans'!B11*CA!$B$14*CA!B41</f>
        <v>327.98303999999996</v>
      </c>
      <c r="C62" s="54">
        <f>'5ans'!C11*CA!$B$14*CA!$B$6*CA!B41</f>
        <v>490.08959999999996</v>
      </c>
      <c r="D62" s="54">
        <f t="shared" si="1"/>
        <v>12633.244730248907</v>
      </c>
      <c r="E62" s="54">
        <f t="shared" si="2"/>
        <v>32901.83910616576</v>
      </c>
      <c r="F62" s="54">
        <f t="shared" si="3"/>
        <v>45535.083836414669</v>
      </c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</row>
    <row r="63" spans="1:35" ht="16" x14ac:dyDescent="0.2">
      <c r="A63" s="54" t="s">
        <v>306</v>
      </c>
      <c r="B63" s="54">
        <f>'5ans'!B12*CA!$B$14*CA!B42</f>
        <v>286.98516000000001</v>
      </c>
      <c r="C63" s="54">
        <f>'5ans'!C12*CA!$B$14*CA!$B$6*CA!B42</f>
        <v>428.82839999999999</v>
      </c>
      <c r="D63" s="54">
        <f t="shared" si="1"/>
        <v>11054.089138967794</v>
      </c>
      <c r="E63" s="54">
        <f t="shared" si="2"/>
        <v>28789.109217895042</v>
      </c>
      <c r="F63" s="54">
        <f t="shared" si="3"/>
        <v>39843.198356862835</v>
      </c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</row>
    <row r="64" spans="1:35" ht="16" x14ac:dyDescent="0.2">
      <c r="A64" s="54" t="s">
        <v>307</v>
      </c>
      <c r="B64" s="54">
        <f>'5ans'!B13*CA!$B$14*CA!B43</f>
        <v>383.88923999999997</v>
      </c>
      <c r="C64" s="54">
        <f>'5ans'!C13*CA!$B$14*CA!$B$6*CA!B43</f>
        <v>573.62760000000003</v>
      </c>
      <c r="D64" s="54">
        <f t="shared" si="1"/>
        <v>14786.638718359516</v>
      </c>
      <c r="E64" s="54">
        <f t="shared" si="2"/>
        <v>38510.10713562584</v>
      </c>
      <c r="F64" s="54">
        <f t="shared" si="3"/>
        <v>53296.745853985354</v>
      </c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</row>
    <row r="65" spans="1:35" ht="16" x14ac:dyDescent="0.2">
      <c r="A65" s="54" t="s">
        <v>308</v>
      </c>
      <c r="B65" s="54">
        <f>'5ans'!B14*CA!$B$14*CA!B44</f>
        <v>402.52463999999998</v>
      </c>
      <c r="C65" s="54">
        <f>'5ans'!C14*CA!$B$14*CA!$B$6*CA!B44</f>
        <v>601.47360000000003</v>
      </c>
      <c r="D65" s="54">
        <f t="shared" si="1"/>
        <v>15504.436714396386</v>
      </c>
      <c r="E65" s="54">
        <f t="shared" si="2"/>
        <v>40379.529812112531</v>
      </c>
      <c r="F65" s="54">
        <f t="shared" si="3"/>
        <v>55883.966526508913</v>
      </c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</row>
    <row r="66" spans="1:35" ht="16" x14ac:dyDescent="0.2">
      <c r="A66" s="54" t="s">
        <v>309</v>
      </c>
      <c r="B66" s="54">
        <f>'5ans'!B15*CA!$B$14*CA!B45</f>
        <v>346.61843999999996</v>
      </c>
      <c r="C66" s="54">
        <f>'5ans'!C15*CA!$B$14*CA!$B$6*CA!B45</f>
        <v>517.93560000000002</v>
      </c>
      <c r="D66" s="54">
        <f t="shared" si="1"/>
        <v>13351.042726285777</v>
      </c>
      <c r="E66" s="54">
        <f t="shared" si="2"/>
        <v>34771.261782652451</v>
      </c>
      <c r="F66" s="54">
        <f t="shared" si="3"/>
        <v>48122.304508938229</v>
      </c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</row>
    <row r="67" spans="1:35" ht="16" x14ac:dyDescent="0.2">
      <c r="A67" s="54" t="s">
        <v>310</v>
      </c>
      <c r="B67" s="54">
        <f>'5ans'!B16*CA!$B$14*CA!B46</f>
        <v>439.79543999999993</v>
      </c>
      <c r="C67" s="54">
        <f>'5ans'!C16*CA!$B$14*CA!$B$6*CA!B46</f>
        <v>657.16559999999993</v>
      </c>
      <c r="D67" s="54">
        <f t="shared" si="1"/>
        <v>16940.032706470123</v>
      </c>
      <c r="E67" s="54">
        <f t="shared" si="2"/>
        <v>44118.375165085905</v>
      </c>
      <c r="F67" s="54">
        <f t="shared" si="3"/>
        <v>61058.407871556032</v>
      </c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</row>
    <row r="68" spans="1:35" ht="16" x14ac:dyDescent="0.2">
      <c r="A68" s="54" t="s">
        <v>318</v>
      </c>
      <c r="B68" s="54">
        <f>'5ans'!B17*CA!$B$14*CA!B35</f>
        <v>327.98303999999996</v>
      </c>
      <c r="C68" s="54">
        <f>'5ans'!C17*CA!$B$14*CA!$B$6*CA!B35</f>
        <v>490.08959999999996</v>
      </c>
      <c r="D68" s="54">
        <f>B56*$B$50</f>
        <v>13012.242072156374</v>
      </c>
      <c r="E68" s="54">
        <f>C68*$B$51</f>
        <v>33888.89427935073</v>
      </c>
      <c r="F68" s="54">
        <f t="shared" si="3"/>
        <v>46901.136351507106</v>
      </c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</row>
    <row r="69" spans="1:35" ht="16" x14ac:dyDescent="0.2">
      <c r="A69" s="54" t="s">
        <v>319</v>
      </c>
      <c r="B69" s="54">
        <f>'5ans'!B18*CA!$B$14*CA!B36</f>
        <v>346.61843999999996</v>
      </c>
      <c r="C69" s="54">
        <f>'5ans'!C18*CA!$B$14*CA!$B$6*CA!B36</f>
        <v>517.93560000000002</v>
      </c>
      <c r="D69" s="54">
        <f t="shared" ref="D69:D79" si="4">B57*$B$50</f>
        <v>13751.574008074351</v>
      </c>
      <c r="E69" s="54">
        <f t="shared" ref="E69:E79" si="5">C69*$B$51</f>
        <v>35814.399636132024</v>
      </c>
      <c r="F69" s="54">
        <f t="shared" si="3"/>
        <v>49565.973644206373</v>
      </c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</row>
    <row r="70" spans="1:35" ht="16" x14ac:dyDescent="0.2">
      <c r="A70" s="54" t="s">
        <v>320</v>
      </c>
      <c r="B70" s="54">
        <f>'5ans'!B19*CA!$B$14*CA!B37</f>
        <v>383.88923999999997</v>
      </c>
      <c r="C70" s="54">
        <f>'5ans'!C19*CA!$B$14*CA!$B$6*CA!B37</f>
        <v>573.62760000000003</v>
      </c>
      <c r="D70" s="54">
        <f t="shared" si="4"/>
        <v>15230.237879910303</v>
      </c>
      <c r="E70" s="54">
        <f t="shared" si="5"/>
        <v>39665.410349694612</v>
      </c>
      <c r="F70" s="54">
        <f t="shared" si="3"/>
        <v>54895.648229604914</v>
      </c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</row>
    <row r="71" spans="1:35" ht="16" x14ac:dyDescent="0.2">
      <c r="A71" s="54" t="s">
        <v>321</v>
      </c>
      <c r="B71" s="54">
        <f>'5ans'!B20*CA!$B$14*CA!B38</f>
        <v>402.52463999999998</v>
      </c>
      <c r="C71" s="54">
        <f>'5ans'!C20*CA!$B$14*CA!$B$6*CA!B38</f>
        <v>601.47360000000003</v>
      </c>
      <c r="D71" s="54">
        <f t="shared" si="4"/>
        <v>15969.569815828278</v>
      </c>
      <c r="E71" s="54">
        <f t="shared" si="5"/>
        <v>41590.915706475906</v>
      </c>
      <c r="F71" s="54">
        <f t="shared" si="3"/>
        <v>57560.485522304181</v>
      </c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</row>
    <row r="72" spans="1:35" ht="16" x14ac:dyDescent="0.2">
      <c r="A72" s="54" t="s">
        <v>322</v>
      </c>
      <c r="B72" s="54">
        <f>'5ans'!B21*CA!$B$14*CA!B39</f>
        <v>421.16003999999992</v>
      </c>
      <c r="C72" s="54">
        <f>'5ans'!C21*CA!$B$14*CA!$B$6*CA!B39</f>
        <v>629.31959999999992</v>
      </c>
      <c r="D72" s="54">
        <f t="shared" si="4"/>
        <v>16708.901751746253</v>
      </c>
      <c r="E72" s="54">
        <f t="shared" si="5"/>
        <v>43516.421063257185</v>
      </c>
      <c r="F72" s="54">
        <f t="shared" si="3"/>
        <v>60225.322815003441</v>
      </c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</row>
    <row r="73" spans="1:35" ht="16" x14ac:dyDescent="0.2">
      <c r="A73" s="54" t="s">
        <v>323</v>
      </c>
      <c r="B73" s="54">
        <f>'5ans'!B22*CA!$B$14*CA!B40</f>
        <v>402.52463999999998</v>
      </c>
      <c r="C73" s="54">
        <f>'5ans'!C22*CA!$B$14*CA!$B$6*CA!B40</f>
        <v>601.47360000000003</v>
      </c>
      <c r="D73" s="54">
        <f t="shared" si="4"/>
        <v>15969.569815828278</v>
      </c>
      <c r="E73" s="54">
        <f t="shared" si="5"/>
        <v>41590.915706475906</v>
      </c>
      <c r="F73" s="54">
        <f t="shared" si="3"/>
        <v>57560.485522304181</v>
      </c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</row>
    <row r="74" spans="1:35" ht="16" x14ac:dyDescent="0.2">
      <c r="A74" s="54" t="s">
        <v>324</v>
      </c>
      <c r="B74" s="54">
        <f>'5ans'!B23*CA!$B$14*CA!B41</f>
        <v>327.98303999999996</v>
      </c>
      <c r="C74" s="54">
        <f>'5ans'!C23*CA!$B$14*CA!$B$6*CA!B41</f>
        <v>490.08959999999996</v>
      </c>
      <c r="D74" s="54">
        <f t="shared" si="4"/>
        <v>13012.242072156374</v>
      </c>
      <c r="E74" s="54">
        <f t="shared" si="5"/>
        <v>33888.89427935073</v>
      </c>
      <c r="F74" s="54">
        <f t="shared" si="3"/>
        <v>46901.136351507106</v>
      </c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</row>
    <row r="75" spans="1:35" ht="16" x14ac:dyDescent="0.2">
      <c r="A75" s="54" t="s">
        <v>325</v>
      </c>
      <c r="B75" s="54">
        <f>'5ans'!B24*CA!$B$14*CA!B42</f>
        <v>286.98516000000001</v>
      </c>
      <c r="C75" s="54">
        <f>'5ans'!C24*CA!$B$14*CA!$B$6*CA!B42</f>
        <v>428.82839999999999</v>
      </c>
      <c r="D75" s="54">
        <f t="shared" si="4"/>
        <v>11385.71181313683</v>
      </c>
      <c r="E75" s="54">
        <f t="shared" si="5"/>
        <v>29652.782494431893</v>
      </c>
      <c r="F75" s="54">
        <f t="shared" si="3"/>
        <v>41038.494307568719</v>
      </c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</row>
    <row r="76" spans="1:35" ht="16" x14ac:dyDescent="0.2">
      <c r="A76" s="54" t="s">
        <v>326</v>
      </c>
      <c r="B76" s="54">
        <f>'5ans'!B25*CA!$B$14*CA!B43</f>
        <v>383.88923999999997</v>
      </c>
      <c r="C76" s="54">
        <f>'5ans'!C25*CA!$B$14*CA!$B$6*CA!B43</f>
        <v>573.62760000000003</v>
      </c>
      <c r="D76" s="54">
        <f t="shared" si="4"/>
        <v>15230.237879910303</v>
      </c>
      <c r="E76" s="54">
        <f t="shared" si="5"/>
        <v>39665.410349694612</v>
      </c>
      <c r="F76" s="54">
        <f t="shared" si="3"/>
        <v>54895.648229604914</v>
      </c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</row>
    <row r="77" spans="1:35" ht="16" x14ac:dyDescent="0.2">
      <c r="A77" s="54" t="s">
        <v>327</v>
      </c>
      <c r="B77" s="54">
        <f>'5ans'!B26*CA!$B$14*CA!B44</f>
        <v>402.52463999999998</v>
      </c>
      <c r="C77" s="54">
        <f>'5ans'!C26*CA!$B$14*CA!$B$6*CA!B44</f>
        <v>601.47360000000003</v>
      </c>
      <c r="D77" s="54">
        <f t="shared" si="4"/>
        <v>15969.569815828278</v>
      </c>
      <c r="E77" s="54">
        <f t="shared" si="5"/>
        <v>41590.915706475906</v>
      </c>
      <c r="F77" s="54">
        <f t="shared" si="3"/>
        <v>57560.485522304181</v>
      </c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</row>
    <row r="78" spans="1:35" ht="16" x14ac:dyDescent="0.2">
      <c r="A78" s="54" t="s">
        <v>328</v>
      </c>
      <c r="B78" s="54">
        <f>'5ans'!B27*CA!$B$14*CA!B45</f>
        <v>346.61843999999996</v>
      </c>
      <c r="C78" s="54">
        <f>'5ans'!C27*CA!$B$14*CA!$B$6*CA!B45</f>
        <v>517.93560000000002</v>
      </c>
      <c r="D78" s="54">
        <f t="shared" si="4"/>
        <v>13751.574008074351</v>
      </c>
      <c r="E78" s="54">
        <f t="shared" si="5"/>
        <v>35814.399636132024</v>
      </c>
      <c r="F78" s="54">
        <f t="shared" si="3"/>
        <v>49565.973644206373</v>
      </c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</row>
    <row r="79" spans="1:35" ht="16" x14ac:dyDescent="0.2">
      <c r="A79" s="54" t="s">
        <v>329</v>
      </c>
      <c r="B79" s="54">
        <f>'5ans'!B28*CA!$B$14*CA!B46</f>
        <v>439.79543999999993</v>
      </c>
      <c r="C79" s="54">
        <f>'5ans'!C28*CA!$B$14*CA!$B$6*CA!B46</f>
        <v>657.16559999999993</v>
      </c>
      <c r="D79" s="54">
        <f t="shared" si="4"/>
        <v>17448.233687664229</v>
      </c>
      <c r="E79" s="54">
        <f t="shared" si="5"/>
        <v>45441.926420038479</v>
      </c>
      <c r="F79" s="54">
        <f t="shared" si="3"/>
        <v>62890.160107702708</v>
      </c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</row>
    <row r="80" spans="1:35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</row>
    <row r="81" spans="1:35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</row>
    <row r="82" spans="1:35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</row>
    <row r="83" spans="1:35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</row>
    <row r="84" spans="1:35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</row>
    <row r="85" spans="1:35" ht="19" x14ac:dyDescent="0.25">
      <c r="A85" s="127" t="s">
        <v>294</v>
      </c>
      <c r="B85" s="127"/>
      <c r="C85" s="127"/>
      <c r="D85" s="127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</row>
    <row r="86" spans="1:35" ht="16" x14ac:dyDescent="0.2">
      <c r="A86" s="57" t="s">
        <v>4</v>
      </c>
      <c r="B86" s="11" t="s">
        <v>169</v>
      </c>
      <c r="C86" s="11" t="s">
        <v>170</v>
      </c>
      <c r="D86" s="11" t="s">
        <v>171</v>
      </c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</row>
    <row r="87" spans="1:35" ht="16" x14ac:dyDescent="0.2">
      <c r="A87" s="54" t="s">
        <v>299</v>
      </c>
      <c r="B87" s="54" cm="1">
        <f t="array" ref="B87:B110">'Coûts &amp; variables'!B22*'5ans'!B56:B79</f>
        <v>3474.696179454545</v>
      </c>
      <c r="C87" s="54" cm="1">
        <f t="array" ref="C87:C110">'Coûts &amp; variables'!B23*'5ans'!C56:C79</f>
        <v>8970.194715436146</v>
      </c>
      <c r="D87" s="54">
        <f>B87+C87</f>
        <v>12444.89089489069</v>
      </c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</row>
    <row r="88" spans="1:35" ht="16" x14ac:dyDescent="0.2">
      <c r="A88" s="54" t="s">
        <v>300</v>
      </c>
      <c r="B88" s="54">
        <v>3672.122098741735</v>
      </c>
      <c r="C88" s="54">
        <v>9479.8648697222907</v>
      </c>
      <c r="D88" s="54">
        <f t="shared" ref="D88:D110" si="6">B88+C88</f>
        <v>13151.986968464025</v>
      </c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</row>
    <row r="89" spans="1:35" ht="16" x14ac:dyDescent="0.2">
      <c r="A89" s="54" t="s">
        <v>301</v>
      </c>
      <c r="B89" s="54">
        <v>4066.9739373161156</v>
      </c>
      <c r="C89" s="54">
        <v>10499.20517829458</v>
      </c>
      <c r="D89" s="54">
        <f t="shared" si="6"/>
        <v>14566.179115610696</v>
      </c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</row>
    <row r="90" spans="1:35" ht="16" x14ac:dyDescent="0.2">
      <c r="A90" s="54" t="s">
        <v>302</v>
      </c>
      <c r="B90" s="54">
        <v>4264.399856603306</v>
      </c>
      <c r="C90" s="54">
        <v>11008.875332580725</v>
      </c>
      <c r="D90" s="54">
        <f t="shared" si="6"/>
        <v>15273.275189184031</v>
      </c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</row>
    <row r="91" spans="1:35" ht="16" x14ac:dyDescent="0.2">
      <c r="A91" s="54" t="s">
        <v>303</v>
      </c>
      <c r="B91" s="54">
        <v>4461.8257758904956</v>
      </c>
      <c r="C91" s="54">
        <v>11518.545486866868</v>
      </c>
      <c r="D91" s="54">
        <f t="shared" si="6"/>
        <v>15980.371262757362</v>
      </c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</row>
    <row r="92" spans="1:35" ht="16" x14ac:dyDescent="0.2">
      <c r="A92" s="54" t="s">
        <v>304</v>
      </c>
      <c r="B92" s="54">
        <v>4264.399856603306</v>
      </c>
      <c r="C92" s="54">
        <v>11008.875332580725</v>
      </c>
      <c r="D92" s="54">
        <f t="shared" si="6"/>
        <v>15273.275189184031</v>
      </c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</row>
    <row r="93" spans="1:35" ht="16" x14ac:dyDescent="0.2">
      <c r="A93" s="54" t="s">
        <v>305</v>
      </c>
      <c r="B93" s="54">
        <v>3474.696179454545</v>
      </c>
      <c r="C93" s="54">
        <v>8970.194715436146</v>
      </c>
      <c r="D93" s="54">
        <f t="shared" si="6"/>
        <v>12444.89089489069</v>
      </c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</row>
    <row r="94" spans="1:35" ht="16" x14ac:dyDescent="0.2">
      <c r="A94" s="54" t="s">
        <v>306</v>
      </c>
      <c r="B94" s="54">
        <v>3040.3591570227272</v>
      </c>
      <c r="C94" s="54">
        <v>7848.9203760066275</v>
      </c>
      <c r="D94" s="54">
        <f t="shared" si="6"/>
        <v>10889.279533029356</v>
      </c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</row>
    <row r="95" spans="1:35" ht="16" x14ac:dyDescent="0.2">
      <c r="A95" s="54" t="s">
        <v>307</v>
      </c>
      <c r="B95" s="54">
        <v>4066.9739373161156</v>
      </c>
      <c r="C95" s="54">
        <v>10499.20517829458</v>
      </c>
      <c r="D95" s="54">
        <f t="shared" si="6"/>
        <v>14566.179115610696</v>
      </c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</row>
    <row r="96" spans="1:35" ht="16" x14ac:dyDescent="0.2">
      <c r="A96" s="54" t="s">
        <v>308</v>
      </c>
      <c r="B96" s="54">
        <v>4264.399856603306</v>
      </c>
      <c r="C96" s="54">
        <v>11008.875332580725</v>
      </c>
      <c r="D96" s="54">
        <f t="shared" si="6"/>
        <v>15273.275189184031</v>
      </c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</row>
    <row r="97" spans="1:35" ht="16" x14ac:dyDescent="0.2">
      <c r="A97" s="54" t="s">
        <v>309</v>
      </c>
      <c r="B97" s="54">
        <v>3672.122098741735</v>
      </c>
      <c r="C97" s="54">
        <v>9479.8648697222907</v>
      </c>
      <c r="D97" s="54">
        <f t="shared" si="6"/>
        <v>13151.986968464025</v>
      </c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</row>
    <row r="98" spans="1:35" ht="16" x14ac:dyDescent="0.2">
      <c r="A98" s="54" t="s">
        <v>310</v>
      </c>
      <c r="B98" s="54">
        <v>4659.2516951776852</v>
      </c>
      <c r="C98" s="54">
        <v>12028.215641153012</v>
      </c>
      <c r="D98" s="54">
        <f t="shared" si="6"/>
        <v>16687.467336330697</v>
      </c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</row>
    <row r="99" spans="1:35" ht="16" x14ac:dyDescent="0.2">
      <c r="A99" s="54" t="s">
        <v>318</v>
      </c>
      <c r="B99" s="54">
        <v>3474.696179454545</v>
      </c>
      <c r="C99" s="54">
        <v>8970.194715436146</v>
      </c>
      <c r="D99" s="54">
        <f t="shared" si="6"/>
        <v>12444.89089489069</v>
      </c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</row>
    <row r="100" spans="1:35" ht="16" x14ac:dyDescent="0.2">
      <c r="A100" s="54" t="s">
        <v>319</v>
      </c>
      <c r="B100" s="54">
        <v>3672.122098741735</v>
      </c>
      <c r="C100" s="54">
        <v>9479.8648697222907</v>
      </c>
      <c r="D100" s="54">
        <f t="shared" si="6"/>
        <v>13151.986968464025</v>
      </c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</row>
    <row r="101" spans="1:35" ht="16" x14ac:dyDescent="0.2">
      <c r="A101" s="54" t="s">
        <v>320</v>
      </c>
      <c r="B101" s="54">
        <v>4066.9739373161156</v>
      </c>
      <c r="C101" s="54">
        <v>10499.20517829458</v>
      </c>
      <c r="D101" s="54">
        <f t="shared" si="6"/>
        <v>14566.179115610696</v>
      </c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</row>
    <row r="102" spans="1:35" ht="16" x14ac:dyDescent="0.2">
      <c r="A102" s="54" t="s">
        <v>321</v>
      </c>
      <c r="B102" s="54">
        <v>4264.399856603306</v>
      </c>
      <c r="C102" s="54">
        <v>11008.875332580725</v>
      </c>
      <c r="D102" s="54">
        <f t="shared" si="6"/>
        <v>15273.275189184031</v>
      </c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</row>
    <row r="103" spans="1:35" ht="16" x14ac:dyDescent="0.2">
      <c r="A103" s="54" t="s">
        <v>322</v>
      </c>
      <c r="B103" s="54">
        <v>4461.8257758904956</v>
      </c>
      <c r="C103" s="54">
        <v>11518.545486866868</v>
      </c>
      <c r="D103" s="54">
        <f t="shared" si="6"/>
        <v>15980.371262757362</v>
      </c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</row>
    <row r="104" spans="1:35" ht="16" x14ac:dyDescent="0.2">
      <c r="A104" s="54" t="s">
        <v>323</v>
      </c>
      <c r="B104" s="54">
        <v>4264.399856603306</v>
      </c>
      <c r="C104" s="54">
        <v>11008.875332580725</v>
      </c>
      <c r="D104" s="54">
        <f t="shared" si="6"/>
        <v>15273.275189184031</v>
      </c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</row>
    <row r="105" spans="1:35" ht="16" x14ac:dyDescent="0.2">
      <c r="A105" s="54" t="s">
        <v>324</v>
      </c>
      <c r="B105" s="54">
        <v>3474.696179454545</v>
      </c>
      <c r="C105" s="54">
        <v>8970.194715436146</v>
      </c>
      <c r="D105" s="54">
        <f t="shared" si="6"/>
        <v>12444.89089489069</v>
      </c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</row>
    <row r="106" spans="1:35" ht="16" x14ac:dyDescent="0.2">
      <c r="A106" s="54" t="s">
        <v>325</v>
      </c>
      <c r="B106" s="54">
        <v>3040.3591570227272</v>
      </c>
      <c r="C106" s="54">
        <v>7848.9203760066275</v>
      </c>
      <c r="D106" s="54">
        <f t="shared" si="6"/>
        <v>10889.279533029356</v>
      </c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</row>
    <row r="107" spans="1:35" ht="16" x14ac:dyDescent="0.2">
      <c r="A107" s="54" t="s">
        <v>326</v>
      </c>
      <c r="B107" s="54">
        <v>4066.9739373161156</v>
      </c>
      <c r="C107" s="54">
        <v>10499.20517829458</v>
      </c>
      <c r="D107" s="54">
        <f t="shared" si="6"/>
        <v>14566.179115610696</v>
      </c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</row>
    <row r="108" spans="1:35" ht="16" x14ac:dyDescent="0.2">
      <c r="A108" s="54" t="s">
        <v>327</v>
      </c>
      <c r="B108" s="54">
        <v>4264.399856603306</v>
      </c>
      <c r="C108" s="54">
        <v>11008.875332580725</v>
      </c>
      <c r="D108" s="54">
        <f t="shared" si="6"/>
        <v>15273.275189184031</v>
      </c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</row>
    <row r="109" spans="1:35" ht="16" x14ac:dyDescent="0.2">
      <c r="A109" s="54" t="s">
        <v>328</v>
      </c>
      <c r="B109" s="54">
        <v>3672.122098741735</v>
      </c>
      <c r="C109" s="54">
        <v>9479.8648697222907</v>
      </c>
      <c r="D109" s="54">
        <f t="shared" si="6"/>
        <v>13151.986968464025</v>
      </c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</row>
    <row r="110" spans="1:35" ht="16" x14ac:dyDescent="0.2">
      <c r="A110" s="54" t="s">
        <v>329</v>
      </c>
      <c r="B110" s="54">
        <v>4659.2516951776852</v>
      </c>
      <c r="C110" s="54">
        <v>12028.215641153012</v>
      </c>
      <c r="D110" s="54">
        <f t="shared" si="6"/>
        <v>16687.467336330697</v>
      </c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</row>
    <row r="111" spans="1:35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</row>
    <row r="112" spans="1:35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</row>
    <row r="113" spans="1:35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</row>
    <row r="114" spans="1:35" x14ac:dyDescent="0.2">
      <c r="A114" s="8"/>
      <c r="B114" s="8"/>
      <c r="C114" s="8"/>
      <c r="D114" s="8"/>
      <c r="E114" s="31" t="s">
        <v>288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</row>
    <row r="115" spans="1:35" ht="19" x14ac:dyDescent="0.25">
      <c r="A115" s="153" t="s">
        <v>285</v>
      </c>
      <c r="B115" s="138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</row>
    <row r="116" spans="1:35" ht="16" x14ac:dyDescent="0.2">
      <c r="A116" s="57" t="s">
        <v>4</v>
      </c>
      <c r="B116" s="63" t="s">
        <v>267</v>
      </c>
      <c r="C116" s="63" t="s">
        <v>195</v>
      </c>
      <c r="D116" s="63" t="s">
        <v>130</v>
      </c>
      <c r="E116" s="63" t="s">
        <v>196</v>
      </c>
      <c r="F116" s="63" t="s">
        <v>131</v>
      </c>
      <c r="G116" s="63" t="s">
        <v>132</v>
      </c>
      <c r="H116" s="63" t="s">
        <v>197</v>
      </c>
      <c r="I116" s="63" t="s">
        <v>289</v>
      </c>
      <c r="J116" s="63" t="s">
        <v>198</v>
      </c>
      <c r="K116" s="63" t="s">
        <v>202</v>
      </c>
      <c r="L116" s="63" t="s">
        <v>199</v>
      </c>
      <c r="M116" s="63" t="s">
        <v>200</v>
      </c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</row>
    <row r="117" spans="1:35" ht="16" x14ac:dyDescent="0.2">
      <c r="A117" s="54" t="s">
        <v>299</v>
      </c>
      <c r="B117" s="54">
        <f>F56</f>
        <v>45535.083836414669</v>
      </c>
      <c r="C117" s="54">
        <f>D87</f>
        <v>12444.89089489069</v>
      </c>
      <c r="D117" s="54">
        <f>B117-C117</f>
        <v>33090.192941523979</v>
      </c>
      <c r="E117" s="54">
        <f>'Résultat exploitation'!$E$68</f>
        <v>3618.0643248000006</v>
      </c>
      <c r="F117" s="54">
        <f>'Résultat exploitation'!$F$68</f>
        <v>24421.918000000005</v>
      </c>
      <c r="G117" s="54">
        <f>B117-C117-E117-F117</f>
        <v>5050.2106167239726</v>
      </c>
      <c r="H117" s="54">
        <f>'Résultat exploitation'!$H$68</f>
        <v>809.91000000000008</v>
      </c>
      <c r="I117" s="54">
        <f>G117-H117</f>
        <v>4240.3006167239728</v>
      </c>
      <c r="J117" s="54">
        <f>'Coûts &amp; variables'!C175</f>
        <v>181.61264791731421</v>
      </c>
      <c r="K117" s="54">
        <f>I117-J117</f>
        <v>4058.6879688066588</v>
      </c>
      <c r="L117" s="54">
        <f>IF(K117&lt;=0,0,K117*0.25)</f>
        <v>1014.6719922016647</v>
      </c>
      <c r="M117" s="54">
        <f>K117-L117</f>
        <v>3044.0159766049942</v>
      </c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</row>
    <row r="118" spans="1:35" ht="16" x14ac:dyDescent="0.2">
      <c r="A118" s="54" t="s">
        <v>300</v>
      </c>
      <c r="B118" s="54">
        <f t="shared" ref="B118:B140" si="7">F57</f>
        <v>48122.304508938229</v>
      </c>
      <c r="C118" s="54">
        <f t="shared" ref="C118:C140" si="8">D88</f>
        <v>13151.986968464025</v>
      </c>
      <c r="D118" s="54">
        <f t="shared" ref="D118:D140" si="9">B118-C118</f>
        <v>34970.317540474207</v>
      </c>
      <c r="E118" s="54">
        <f>'Résultat exploitation'!$E$68</f>
        <v>3618.0643248000006</v>
      </c>
      <c r="F118" s="54">
        <f>'Résultat exploitation'!$F$68</f>
        <v>24421.918000000005</v>
      </c>
      <c r="G118" s="54">
        <f t="shared" ref="G118:G140" si="10">B118-C118-E118-F118</f>
        <v>6930.3352156742003</v>
      </c>
      <c r="H118" s="54">
        <f>'Résultat exploitation'!$H$68</f>
        <v>809.91000000000008</v>
      </c>
      <c r="I118" s="54">
        <f t="shared" ref="I118:I140" si="11">G118-H118</f>
        <v>6120.4252156742004</v>
      </c>
      <c r="J118" s="54">
        <f>'Coûts &amp; variables'!C176</f>
        <v>178.11738150942506</v>
      </c>
      <c r="K118" s="54">
        <f t="shared" ref="K118:K140" si="12">I118-J118</f>
        <v>5942.3078341647752</v>
      </c>
      <c r="L118" s="54">
        <f t="shared" ref="L118:L140" si="13">IF(K118&lt;=0,0,K118*0.25)</f>
        <v>1485.5769585411938</v>
      </c>
      <c r="M118" s="54">
        <f t="shared" ref="M118:M140" si="14">K118-L118</f>
        <v>4456.7308756235816</v>
      </c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</row>
    <row r="119" spans="1:35" ht="16" x14ac:dyDescent="0.2">
      <c r="A119" s="54" t="s">
        <v>301</v>
      </c>
      <c r="B119" s="54">
        <f t="shared" si="7"/>
        <v>53296.745853985354</v>
      </c>
      <c r="C119" s="54">
        <f t="shared" si="8"/>
        <v>14566.179115610696</v>
      </c>
      <c r="D119" s="54">
        <f t="shared" si="9"/>
        <v>38730.566738374662</v>
      </c>
      <c r="E119" s="54">
        <f>'Résultat exploitation'!$E$68</f>
        <v>3618.0643248000006</v>
      </c>
      <c r="F119" s="54">
        <f>'Résultat exploitation'!$F$68</f>
        <v>24421.918000000005</v>
      </c>
      <c r="G119" s="54">
        <f t="shared" si="10"/>
        <v>10690.584413574659</v>
      </c>
      <c r="H119" s="54">
        <f>'Résultat exploitation'!$H$68</f>
        <v>809.91000000000008</v>
      </c>
      <c r="I119" s="54">
        <f t="shared" si="11"/>
        <v>9880.6744135746594</v>
      </c>
      <c r="J119" s="54">
        <f>'Coûts &amp; variables'!C177</f>
        <v>174.61046421350963</v>
      </c>
      <c r="K119" s="54">
        <f t="shared" si="12"/>
        <v>9706.0639493611507</v>
      </c>
      <c r="L119" s="54">
        <f t="shared" si="13"/>
        <v>2426.5159873402877</v>
      </c>
      <c r="M119" s="54">
        <f t="shared" si="14"/>
        <v>7279.5479620208625</v>
      </c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</row>
    <row r="120" spans="1:35" ht="16" x14ac:dyDescent="0.2">
      <c r="A120" s="54" t="s">
        <v>302</v>
      </c>
      <c r="B120" s="54">
        <f t="shared" si="7"/>
        <v>55883.966526508913</v>
      </c>
      <c r="C120" s="54">
        <f t="shared" si="8"/>
        <v>15273.275189184031</v>
      </c>
      <c r="D120" s="54">
        <f t="shared" si="9"/>
        <v>40610.691337324883</v>
      </c>
      <c r="E120" s="54">
        <f>'Résultat exploitation'!$E$68</f>
        <v>3618.0643248000006</v>
      </c>
      <c r="F120" s="54">
        <f>'Résultat exploitation'!$F$68</f>
        <v>24421.918000000005</v>
      </c>
      <c r="G120" s="54">
        <f t="shared" si="10"/>
        <v>12570.70901252488</v>
      </c>
      <c r="H120" s="54">
        <f>'Résultat exploitation'!$H$68</f>
        <v>809.91000000000008</v>
      </c>
      <c r="I120" s="54">
        <f t="shared" si="11"/>
        <v>11760.79901252488</v>
      </c>
      <c r="J120" s="54">
        <f>'Coûts &amp; variables'!C178</f>
        <v>171.09185719327448</v>
      </c>
      <c r="K120" s="54">
        <f t="shared" si="12"/>
        <v>11589.707155331605</v>
      </c>
      <c r="L120" s="54">
        <f t="shared" si="13"/>
        <v>2897.4267888329014</v>
      </c>
      <c r="M120" s="54">
        <f t="shared" si="14"/>
        <v>8692.2803664987041</v>
      </c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</row>
    <row r="121" spans="1:35" ht="16" x14ac:dyDescent="0.2">
      <c r="A121" s="54" t="s">
        <v>303</v>
      </c>
      <c r="B121" s="54">
        <f t="shared" si="7"/>
        <v>58471.187199032473</v>
      </c>
      <c r="C121" s="54">
        <f t="shared" si="8"/>
        <v>15980.371262757362</v>
      </c>
      <c r="D121" s="54">
        <f t="shared" si="9"/>
        <v>42490.81593627511</v>
      </c>
      <c r="E121" s="54">
        <f>'Résultat exploitation'!$E$68</f>
        <v>3618.0643248000006</v>
      </c>
      <c r="F121" s="54">
        <f>'Résultat exploitation'!$F$68</f>
        <v>24421.918000000005</v>
      </c>
      <c r="G121" s="54">
        <f t="shared" si="10"/>
        <v>14450.833611475107</v>
      </c>
      <c r="H121" s="54">
        <f>'Résultat exploitation'!$H$68</f>
        <v>809.91000000000008</v>
      </c>
      <c r="I121" s="54">
        <f t="shared" si="11"/>
        <v>13640.923611475107</v>
      </c>
      <c r="J121" s="54">
        <f>'Coûts &amp; variables'!C179</f>
        <v>167.56152148297187</v>
      </c>
      <c r="K121" s="54">
        <f t="shared" si="12"/>
        <v>13473.362089992135</v>
      </c>
      <c r="L121" s="54">
        <f t="shared" si="13"/>
        <v>3368.3405224980338</v>
      </c>
      <c r="M121" s="54">
        <f t="shared" si="14"/>
        <v>10105.021567494101</v>
      </c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</row>
    <row r="122" spans="1:35" ht="16" x14ac:dyDescent="0.2">
      <c r="A122" s="54" t="s">
        <v>304</v>
      </c>
      <c r="B122" s="54">
        <f t="shared" si="7"/>
        <v>55883.966526508913</v>
      </c>
      <c r="C122" s="54">
        <f t="shared" si="8"/>
        <v>15273.275189184031</v>
      </c>
      <c r="D122" s="54">
        <f t="shared" si="9"/>
        <v>40610.691337324883</v>
      </c>
      <c r="E122" s="54">
        <f>'Résultat exploitation'!$E$68</f>
        <v>3618.0643248000006</v>
      </c>
      <c r="F122" s="54">
        <f>'Résultat exploitation'!$F$68</f>
        <v>24421.918000000005</v>
      </c>
      <c r="G122" s="54">
        <f t="shared" si="10"/>
        <v>12570.70901252488</v>
      </c>
      <c r="H122" s="54">
        <f>'Résultat exploitation'!$H$68</f>
        <v>809.91000000000008</v>
      </c>
      <c r="I122" s="54">
        <f t="shared" si="11"/>
        <v>11760.79901252488</v>
      </c>
      <c r="J122" s="54">
        <f>'Coûts &amp; variables'!C180</f>
        <v>164.01941798696825</v>
      </c>
      <c r="K122" s="54">
        <f t="shared" si="12"/>
        <v>11596.779594537911</v>
      </c>
      <c r="L122" s="54">
        <f t="shared" si="13"/>
        <v>2899.1948986344778</v>
      </c>
      <c r="M122" s="54">
        <f t="shared" si="14"/>
        <v>8697.5846959034334</v>
      </c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</row>
    <row r="123" spans="1:35" ht="16" x14ac:dyDescent="0.2">
      <c r="A123" s="54" t="s">
        <v>305</v>
      </c>
      <c r="B123" s="54">
        <f t="shared" si="7"/>
        <v>45535.083836414669</v>
      </c>
      <c r="C123" s="54">
        <f t="shared" si="8"/>
        <v>12444.89089489069</v>
      </c>
      <c r="D123" s="54">
        <f t="shared" si="9"/>
        <v>33090.192941523979</v>
      </c>
      <c r="E123" s="54">
        <f>'Résultat exploitation'!$E$68</f>
        <v>3618.0643248000006</v>
      </c>
      <c r="F123" s="54">
        <f>'Résultat exploitation'!$F$68</f>
        <v>24421.918000000005</v>
      </c>
      <c r="G123" s="54">
        <f t="shared" si="10"/>
        <v>5050.2106167239726</v>
      </c>
      <c r="H123" s="54">
        <f>'Résultat exploitation'!$H$68</f>
        <v>809.91000000000008</v>
      </c>
      <c r="I123" s="54">
        <f t="shared" si="11"/>
        <v>4240.3006167239728</v>
      </c>
      <c r="J123" s="54">
        <f>'Coûts &amp; variables'!C181</f>
        <v>160.46550747931127</v>
      </c>
      <c r="K123" s="54">
        <f t="shared" si="12"/>
        <v>4079.8351092446615</v>
      </c>
      <c r="L123" s="54">
        <f t="shared" si="13"/>
        <v>1019.9587773111654</v>
      </c>
      <c r="M123" s="54">
        <f t="shared" si="14"/>
        <v>3059.8763319334962</v>
      </c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</row>
    <row r="124" spans="1:35" ht="16" x14ac:dyDescent="0.2">
      <c r="A124" s="54" t="s">
        <v>306</v>
      </c>
      <c r="B124" s="54">
        <f t="shared" si="7"/>
        <v>39843.198356862835</v>
      </c>
      <c r="C124" s="54">
        <f t="shared" si="8"/>
        <v>10889.279533029356</v>
      </c>
      <c r="D124" s="54">
        <f t="shared" si="9"/>
        <v>28953.918823833479</v>
      </c>
      <c r="E124" s="54">
        <f>'Résultat exploitation'!$E$68</f>
        <v>3618.0643248000006</v>
      </c>
      <c r="F124" s="54">
        <f>'Résultat exploitation'!$F$68</f>
        <v>24421.918000000005</v>
      </c>
      <c r="G124" s="54">
        <f t="shared" si="10"/>
        <v>913.9364990334725</v>
      </c>
      <c r="H124" s="54">
        <f>'Résultat exploitation'!$H$68</f>
        <v>809.91000000000008</v>
      </c>
      <c r="I124" s="54">
        <f t="shared" si="11"/>
        <v>104.02649903347242</v>
      </c>
      <c r="J124" s="54">
        <f>'Coûts &amp; variables'!C182</f>
        <v>156.89975060329544</v>
      </c>
      <c r="K124" s="54">
        <f t="shared" si="12"/>
        <v>-52.873251569823026</v>
      </c>
      <c r="L124" s="54">
        <f t="shared" si="13"/>
        <v>0</v>
      </c>
      <c r="M124" s="54">
        <f t="shared" si="14"/>
        <v>-52.873251569823026</v>
      </c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</row>
    <row r="125" spans="1:35" ht="16" x14ac:dyDescent="0.2">
      <c r="A125" s="54" t="s">
        <v>307</v>
      </c>
      <c r="B125" s="54">
        <f t="shared" si="7"/>
        <v>53296.745853985354</v>
      </c>
      <c r="C125" s="54">
        <f t="shared" si="8"/>
        <v>14566.179115610696</v>
      </c>
      <c r="D125" s="54">
        <f t="shared" si="9"/>
        <v>38730.566738374662</v>
      </c>
      <c r="E125" s="54">
        <f>'Résultat exploitation'!$E$68</f>
        <v>3618.0643248000006</v>
      </c>
      <c r="F125" s="54">
        <f>'Résultat exploitation'!$F$68</f>
        <v>24421.918000000005</v>
      </c>
      <c r="G125" s="54">
        <f t="shared" si="10"/>
        <v>10690.584413574659</v>
      </c>
      <c r="H125" s="54">
        <f>'Résultat exploitation'!$H$68</f>
        <v>809.91000000000008</v>
      </c>
      <c r="I125" s="54">
        <f t="shared" si="11"/>
        <v>9880.6744135746594</v>
      </c>
      <c r="J125" s="54">
        <f>'Coûts &amp; variables'!C183</f>
        <v>153.32210787102625</v>
      </c>
      <c r="K125" s="54">
        <f t="shared" si="12"/>
        <v>9727.3523057036327</v>
      </c>
      <c r="L125" s="54">
        <f t="shared" si="13"/>
        <v>2431.8380764259082</v>
      </c>
      <c r="M125" s="54">
        <f t="shared" si="14"/>
        <v>7295.5142292777246</v>
      </c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</row>
    <row r="126" spans="1:35" ht="16" x14ac:dyDescent="0.2">
      <c r="A126" s="54" t="s">
        <v>308</v>
      </c>
      <c r="B126" s="54">
        <f t="shared" si="7"/>
        <v>55883.966526508913</v>
      </c>
      <c r="C126" s="54">
        <f t="shared" si="8"/>
        <v>15273.275189184031</v>
      </c>
      <c r="D126" s="54">
        <f t="shared" si="9"/>
        <v>40610.691337324883</v>
      </c>
      <c r="E126" s="54">
        <f>'Résultat exploitation'!$E$68</f>
        <v>3618.0643248000006</v>
      </c>
      <c r="F126" s="54">
        <f>'Résultat exploitation'!$F$68</f>
        <v>24421.918000000005</v>
      </c>
      <c r="G126" s="54">
        <f t="shared" si="10"/>
        <v>12570.70901252488</v>
      </c>
      <c r="H126" s="54">
        <f>'Résultat exploitation'!$H$68</f>
        <v>809.91000000000008</v>
      </c>
      <c r="I126" s="54">
        <f t="shared" si="11"/>
        <v>11760.79901252488</v>
      </c>
      <c r="J126" s="54">
        <f>'Coûts &amp; variables'!C184</f>
        <v>149.73253966298282</v>
      </c>
      <c r="K126" s="54">
        <f t="shared" si="12"/>
        <v>11611.066472861898</v>
      </c>
      <c r="L126" s="54">
        <f t="shared" si="13"/>
        <v>2902.7666182154744</v>
      </c>
      <c r="M126" s="54">
        <f t="shared" si="14"/>
        <v>8708.2998546464223</v>
      </c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</row>
    <row r="127" spans="1:35" ht="16" x14ac:dyDescent="0.2">
      <c r="A127" s="54" t="s">
        <v>309</v>
      </c>
      <c r="B127" s="54">
        <f t="shared" si="7"/>
        <v>48122.304508938229</v>
      </c>
      <c r="C127" s="54">
        <f t="shared" si="8"/>
        <v>13151.986968464025</v>
      </c>
      <c r="D127" s="54">
        <f t="shared" si="9"/>
        <v>34970.317540474207</v>
      </c>
      <c r="E127" s="54">
        <f>'Résultat exploitation'!$E$68</f>
        <v>3618.0643248000006</v>
      </c>
      <c r="F127" s="54">
        <f>'Résultat exploitation'!$F$68</f>
        <v>24421.918000000005</v>
      </c>
      <c r="G127" s="54">
        <f t="shared" si="10"/>
        <v>6930.3352156742003</v>
      </c>
      <c r="H127" s="54">
        <f>'Résultat exploitation'!$H$68</f>
        <v>809.91000000000008</v>
      </c>
      <c r="I127" s="54">
        <f t="shared" si="11"/>
        <v>6120.4252156742004</v>
      </c>
      <c r="J127" s="54">
        <f>'Coûts &amp; variables'!C185</f>
        <v>146.13100622757921</v>
      </c>
      <c r="K127" s="54">
        <f t="shared" si="12"/>
        <v>5974.2942094466216</v>
      </c>
      <c r="L127" s="54">
        <f t="shared" si="13"/>
        <v>1493.5735523616554</v>
      </c>
      <c r="M127" s="54">
        <f t="shared" si="14"/>
        <v>4480.7206570849667</v>
      </c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</row>
    <row r="128" spans="1:35" ht="16" x14ac:dyDescent="0.2">
      <c r="A128" s="54" t="s">
        <v>310</v>
      </c>
      <c r="B128" s="54">
        <f t="shared" si="7"/>
        <v>61058.407871556032</v>
      </c>
      <c r="C128" s="54">
        <f t="shared" si="8"/>
        <v>16687.467336330697</v>
      </c>
      <c r="D128" s="54">
        <f t="shared" si="9"/>
        <v>44370.940535225338</v>
      </c>
      <c r="E128" s="54">
        <f>'Résultat exploitation'!$E$68</f>
        <v>3618.0643248000006</v>
      </c>
      <c r="F128" s="54">
        <f>'Résultat exploitation'!$F$68</f>
        <v>24421.918000000005</v>
      </c>
      <c r="G128" s="54">
        <f t="shared" si="10"/>
        <v>16330.958210425335</v>
      </c>
      <c r="H128" s="54">
        <f>'Résultat exploitation'!$H$68</f>
        <v>809.91000000000008</v>
      </c>
      <c r="I128" s="54">
        <f t="shared" si="11"/>
        <v>15521.048210425335</v>
      </c>
      <c r="J128" s="54">
        <f>'Coûts &amp; variables'!C186</f>
        <v>142.51746768072428</v>
      </c>
      <c r="K128" s="54">
        <f t="shared" si="12"/>
        <v>15378.530742744611</v>
      </c>
      <c r="L128" s="54">
        <f t="shared" si="13"/>
        <v>3844.6326856861529</v>
      </c>
      <c r="M128" s="54">
        <f t="shared" si="14"/>
        <v>11533.898057058459</v>
      </c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</row>
    <row r="129" spans="1:35" ht="16" x14ac:dyDescent="0.2">
      <c r="A129" s="54" t="s">
        <v>318</v>
      </c>
      <c r="B129" s="54">
        <f t="shared" si="7"/>
        <v>46901.136351507106</v>
      </c>
      <c r="C129" s="54">
        <f t="shared" si="8"/>
        <v>12444.89089489069</v>
      </c>
      <c r="D129" s="54">
        <f t="shared" si="9"/>
        <v>34456.245456616416</v>
      </c>
      <c r="E129" s="54">
        <f>'Résultat exploitation'!$E$68</f>
        <v>3618.0643248000006</v>
      </c>
      <c r="F129" s="54">
        <f>'Résultat exploitation'!$F$68</f>
        <v>24421.918000000005</v>
      </c>
      <c r="G129" s="54">
        <f t="shared" si="10"/>
        <v>6416.2631318164094</v>
      </c>
      <c r="H129" s="54">
        <f>'Résultat exploitation'!$H$68</f>
        <v>809.91000000000008</v>
      </c>
      <c r="I129" s="54">
        <f t="shared" si="11"/>
        <v>5606.3531318164096</v>
      </c>
      <c r="J129" s="54">
        <f>'Coûts &amp; variables'!C187</f>
        <v>138.89188400537984</v>
      </c>
      <c r="K129" s="54">
        <f t="shared" si="12"/>
        <v>5467.4612478110294</v>
      </c>
      <c r="L129" s="54">
        <f t="shared" si="13"/>
        <v>1366.8653119527573</v>
      </c>
      <c r="M129" s="54">
        <f t="shared" si="14"/>
        <v>4100.5959358582722</v>
      </c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</row>
    <row r="130" spans="1:35" ht="16" x14ac:dyDescent="0.2">
      <c r="A130" s="54" t="s">
        <v>319</v>
      </c>
      <c r="B130" s="54">
        <f t="shared" si="7"/>
        <v>49565.973644206373</v>
      </c>
      <c r="C130" s="54">
        <f t="shared" si="8"/>
        <v>13151.986968464025</v>
      </c>
      <c r="D130" s="54">
        <f t="shared" si="9"/>
        <v>36413.986675742344</v>
      </c>
      <c r="E130" s="54">
        <f>'Résultat exploitation'!$E$68</f>
        <v>3618.0643248000006</v>
      </c>
      <c r="F130" s="54">
        <f>'Résultat exploitation'!$F$68</f>
        <v>24421.918000000005</v>
      </c>
      <c r="G130" s="54">
        <f t="shared" si="10"/>
        <v>8374.0043509423413</v>
      </c>
      <c r="H130" s="54">
        <f>'Résultat exploitation'!$H$68</f>
        <v>809.91000000000008</v>
      </c>
      <c r="I130" s="54">
        <f t="shared" si="11"/>
        <v>7564.0943509423414</v>
      </c>
      <c r="J130" s="54">
        <f>'Coûts &amp; variables'!C188</f>
        <v>135.25421505111757</v>
      </c>
      <c r="K130" s="54">
        <f t="shared" si="12"/>
        <v>7428.8401358912242</v>
      </c>
      <c r="L130" s="54">
        <f t="shared" si="13"/>
        <v>1857.2100339728061</v>
      </c>
      <c r="M130" s="54">
        <f t="shared" si="14"/>
        <v>5571.6301019184184</v>
      </c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</row>
    <row r="131" spans="1:35" ht="16" x14ac:dyDescent="0.2">
      <c r="A131" s="54" t="s">
        <v>320</v>
      </c>
      <c r="B131" s="54">
        <f t="shared" si="7"/>
        <v>54895.648229604914</v>
      </c>
      <c r="C131" s="54">
        <f t="shared" si="8"/>
        <v>14566.179115610696</v>
      </c>
      <c r="D131" s="54">
        <f t="shared" si="9"/>
        <v>40329.469113994215</v>
      </c>
      <c r="E131" s="54">
        <f>'Résultat exploitation'!$E$68</f>
        <v>3618.0643248000006</v>
      </c>
      <c r="F131" s="54">
        <f>'Résultat exploitation'!$F$68</f>
        <v>24421.918000000005</v>
      </c>
      <c r="G131" s="54">
        <f t="shared" si="10"/>
        <v>12289.486789194212</v>
      </c>
      <c r="H131" s="54">
        <f>'Résultat exploitation'!$H$68</f>
        <v>809.91000000000008</v>
      </c>
      <c r="I131" s="54">
        <f t="shared" si="11"/>
        <v>11479.576789194212</v>
      </c>
      <c r="J131" s="54">
        <f>'Coûts &amp; variables'!C189</f>
        <v>131.60442053367444</v>
      </c>
      <c r="K131" s="54">
        <f t="shared" si="12"/>
        <v>11347.972368660538</v>
      </c>
      <c r="L131" s="54">
        <f t="shared" si="13"/>
        <v>2836.9930921651344</v>
      </c>
      <c r="M131" s="54">
        <f t="shared" si="14"/>
        <v>8510.9792764954036</v>
      </c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</row>
    <row r="132" spans="1:35" ht="16" x14ac:dyDescent="0.2">
      <c r="A132" s="54" t="s">
        <v>321</v>
      </c>
      <c r="B132" s="54">
        <f t="shared" si="7"/>
        <v>57560.485522304181</v>
      </c>
      <c r="C132" s="54">
        <f t="shared" si="8"/>
        <v>15273.275189184031</v>
      </c>
      <c r="D132" s="54">
        <f t="shared" si="9"/>
        <v>42287.210333120151</v>
      </c>
      <c r="E132" s="54">
        <f>'Résultat exploitation'!$E$68</f>
        <v>3618.0643248000006</v>
      </c>
      <c r="F132" s="54">
        <f>'Résultat exploitation'!$F$68</f>
        <v>24421.918000000005</v>
      </c>
      <c r="G132" s="54">
        <f t="shared" si="10"/>
        <v>14247.228008320148</v>
      </c>
      <c r="H132" s="54">
        <f>'Résultat exploitation'!$H$68</f>
        <v>809.91000000000008</v>
      </c>
      <c r="I132" s="54">
        <f t="shared" si="11"/>
        <v>13437.318008320148</v>
      </c>
      <c r="J132" s="54">
        <f>'Coûts &amp; variables'!C190</f>
        <v>127.94246003450652</v>
      </c>
      <c r="K132" s="54">
        <f t="shared" si="12"/>
        <v>13309.375548285641</v>
      </c>
      <c r="L132" s="54">
        <f t="shared" si="13"/>
        <v>3327.3438870714103</v>
      </c>
      <c r="M132" s="54">
        <f t="shared" si="14"/>
        <v>9982.0316612142306</v>
      </c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</row>
    <row r="133" spans="1:35" ht="16" x14ac:dyDescent="0.2">
      <c r="A133" s="54" t="s">
        <v>322</v>
      </c>
      <c r="B133" s="54">
        <f t="shared" si="7"/>
        <v>60225.322815003441</v>
      </c>
      <c r="C133" s="54">
        <f t="shared" si="8"/>
        <v>15980.371262757362</v>
      </c>
      <c r="D133" s="54">
        <f t="shared" si="9"/>
        <v>44244.951552246079</v>
      </c>
      <c r="E133" s="54">
        <f>'Résultat exploitation'!$E$68</f>
        <v>3618.0643248000006</v>
      </c>
      <c r="F133" s="54">
        <f>'Résultat exploitation'!$F$68</f>
        <v>24421.918000000005</v>
      </c>
      <c r="G133" s="54">
        <f t="shared" si="10"/>
        <v>16204.969227446076</v>
      </c>
      <c r="H133" s="54">
        <f>'Résultat exploitation'!$H$68</f>
        <v>809.91000000000008</v>
      </c>
      <c r="I133" s="54">
        <f t="shared" si="11"/>
        <v>15395.059227446076</v>
      </c>
      <c r="J133" s="54">
        <f>'Coûts &amp; variables'!C191</f>
        <v>124.26829300034134</v>
      </c>
      <c r="K133" s="54">
        <f t="shared" si="12"/>
        <v>15270.790934445735</v>
      </c>
      <c r="L133" s="54">
        <f t="shared" si="13"/>
        <v>3817.6977336114337</v>
      </c>
      <c r="M133" s="54">
        <f t="shared" si="14"/>
        <v>11453.093200834301</v>
      </c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</row>
    <row r="134" spans="1:35" ht="16" x14ac:dyDescent="0.2">
      <c r="A134" s="54" t="s">
        <v>323</v>
      </c>
      <c r="B134" s="54">
        <f t="shared" si="7"/>
        <v>57560.485522304181</v>
      </c>
      <c r="C134" s="54">
        <f t="shared" si="8"/>
        <v>15273.275189184031</v>
      </c>
      <c r="D134" s="54">
        <f t="shared" si="9"/>
        <v>42287.210333120151</v>
      </c>
      <c r="E134" s="54">
        <f>'Résultat exploitation'!$E$68</f>
        <v>3618.0643248000006</v>
      </c>
      <c r="F134" s="54">
        <f>'Résultat exploitation'!$F$68</f>
        <v>24421.918000000005</v>
      </c>
      <c r="G134" s="54">
        <f t="shared" si="10"/>
        <v>14247.228008320148</v>
      </c>
      <c r="H134" s="54">
        <f>'Résultat exploitation'!$H$68</f>
        <v>809.91000000000008</v>
      </c>
      <c r="I134" s="54">
        <f t="shared" si="11"/>
        <v>13437.318008320148</v>
      </c>
      <c r="J134" s="54">
        <f>'Coûts &amp; variables'!C192</f>
        <v>120.58187874272896</v>
      </c>
      <c r="K134" s="54">
        <f t="shared" si="12"/>
        <v>13316.736129577419</v>
      </c>
      <c r="L134" s="54">
        <f t="shared" si="13"/>
        <v>3329.1840323943547</v>
      </c>
      <c r="M134" s="54">
        <f t="shared" si="14"/>
        <v>9987.5520971830647</v>
      </c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</row>
    <row r="135" spans="1:35" ht="16" x14ac:dyDescent="0.2">
      <c r="A135" s="54" t="s">
        <v>324</v>
      </c>
      <c r="B135" s="54">
        <f t="shared" si="7"/>
        <v>46901.136351507106</v>
      </c>
      <c r="C135" s="54">
        <f t="shared" si="8"/>
        <v>12444.89089489069</v>
      </c>
      <c r="D135" s="54">
        <f t="shared" si="9"/>
        <v>34456.245456616416</v>
      </c>
      <c r="E135" s="54">
        <f>'Résultat exploitation'!$E$68</f>
        <v>3618.0643248000006</v>
      </c>
      <c r="F135" s="54">
        <f>'Résultat exploitation'!$F$68</f>
        <v>24421.918000000005</v>
      </c>
      <c r="G135" s="54">
        <f t="shared" si="10"/>
        <v>6416.2631318164094</v>
      </c>
      <c r="H135" s="54">
        <f>'Résultat exploitation'!$H$68</f>
        <v>809.91000000000008</v>
      </c>
      <c r="I135" s="54">
        <f t="shared" si="11"/>
        <v>5606.3531318164096</v>
      </c>
      <c r="J135" s="54">
        <f>'Coûts &amp; variables'!C193</f>
        <v>116.8831764375912</v>
      </c>
      <c r="K135" s="54">
        <f t="shared" si="12"/>
        <v>5489.4699553788187</v>
      </c>
      <c r="L135" s="54">
        <f t="shared" si="13"/>
        <v>1372.3674888447047</v>
      </c>
      <c r="M135" s="54">
        <f t="shared" si="14"/>
        <v>4117.1024665341138</v>
      </c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</row>
    <row r="136" spans="1:35" ht="16" x14ac:dyDescent="0.2">
      <c r="A136" s="54" t="s">
        <v>325</v>
      </c>
      <c r="B136" s="54">
        <f t="shared" si="7"/>
        <v>41038.494307568719</v>
      </c>
      <c r="C136" s="54">
        <f t="shared" si="8"/>
        <v>10889.279533029356</v>
      </c>
      <c r="D136" s="54">
        <f t="shared" si="9"/>
        <v>30149.214774539363</v>
      </c>
      <c r="E136" s="54">
        <f>'Résultat exploitation'!$E$68</f>
        <v>3618.0643248000006</v>
      </c>
      <c r="F136" s="54">
        <f>'Résultat exploitation'!$F$68</f>
        <v>24421.918000000005</v>
      </c>
      <c r="G136" s="54">
        <f t="shared" si="10"/>
        <v>2109.2324497393565</v>
      </c>
      <c r="H136" s="54">
        <f>'Résultat exploitation'!$H$68</f>
        <v>809.91000000000008</v>
      </c>
      <c r="I136" s="54">
        <f t="shared" si="11"/>
        <v>1299.3224497393564</v>
      </c>
      <c r="J136" s="54">
        <f>'Coûts &amp; variables'!C194</f>
        <v>113.17214512476966</v>
      </c>
      <c r="K136" s="54">
        <f t="shared" si="12"/>
        <v>1186.1503046145867</v>
      </c>
      <c r="L136" s="54">
        <f t="shared" si="13"/>
        <v>296.53757615364668</v>
      </c>
      <c r="M136" s="54">
        <f t="shared" si="14"/>
        <v>889.61272846094005</v>
      </c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</row>
    <row r="137" spans="1:35" ht="16" x14ac:dyDescent="0.2">
      <c r="A137" s="54" t="s">
        <v>326</v>
      </c>
      <c r="B137" s="54">
        <f t="shared" si="7"/>
        <v>54895.648229604914</v>
      </c>
      <c r="C137" s="54">
        <f t="shared" si="8"/>
        <v>14566.179115610696</v>
      </c>
      <c r="D137" s="54">
        <f t="shared" si="9"/>
        <v>40329.469113994215</v>
      </c>
      <c r="E137" s="54">
        <f>'Résultat exploitation'!$E$68</f>
        <v>3618.0643248000006</v>
      </c>
      <c r="F137" s="54">
        <f>'Résultat exploitation'!$F$68</f>
        <v>24421.918000000005</v>
      </c>
      <c r="G137" s="54">
        <f t="shared" si="10"/>
        <v>12289.486789194212</v>
      </c>
      <c r="H137" s="54">
        <f>'Résultat exploitation'!$H$68</f>
        <v>809.91000000000008</v>
      </c>
      <c r="I137" s="54">
        <f t="shared" si="11"/>
        <v>11479.576789194212</v>
      </c>
      <c r="J137" s="54">
        <f>'Coûts &amp; variables'!C195</f>
        <v>109.44874370757202</v>
      </c>
      <c r="K137" s="54">
        <f t="shared" si="12"/>
        <v>11370.128045486641</v>
      </c>
      <c r="L137" s="54">
        <f t="shared" si="13"/>
        <v>2842.5320113716602</v>
      </c>
      <c r="M137" s="54">
        <f t="shared" si="14"/>
        <v>8527.5960341149803</v>
      </c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</row>
    <row r="138" spans="1:35" ht="16" x14ac:dyDescent="0.2">
      <c r="A138" s="54" t="s">
        <v>327</v>
      </c>
      <c r="B138" s="54">
        <f t="shared" si="7"/>
        <v>57560.485522304181</v>
      </c>
      <c r="C138" s="54">
        <f t="shared" si="8"/>
        <v>15273.275189184031</v>
      </c>
      <c r="D138" s="54">
        <f t="shared" si="9"/>
        <v>42287.210333120151</v>
      </c>
      <c r="E138" s="54">
        <f>'Résultat exploitation'!$E$68</f>
        <v>3618.0643248000006</v>
      </c>
      <c r="F138" s="54">
        <f>'Résultat exploitation'!$F$68</f>
        <v>24421.918000000005</v>
      </c>
      <c r="G138" s="54">
        <f t="shared" si="10"/>
        <v>14247.228008320148</v>
      </c>
      <c r="H138" s="54">
        <f>'Résultat exploitation'!$H$68</f>
        <v>809.91000000000008</v>
      </c>
      <c r="I138" s="54">
        <f t="shared" si="11"/>
        <v>13437.318008320148</v>
      </c>
      <c r="J138" s="54">
        <f>'Coûts &amp; variables'!C196</f>
        <v>105.71293095231707</v>
      </c>
      <c r="K138" s="54">
        <f t="shared" si="12"/>
        <v>13331.605077367831</v>
      </c>
      <c r="L138" s="54">
        <f t="shared" si="13"/>
        <v>3332.9012693419577</v>
      </c>
      <c r="M138" s="54">
        <f t="shared" si="14"/>
        <v>9998.7038080258735</v>
      </c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</row>
    <row r="139" spans="1:35" ht="16" x14ac:dyDescent="0.2">
      <c r="A139" s="54" t="s">
        <v>328</v>
      </c>
      <c r="B139" s="54">
        <f t="shared" si="7"/>
        <v>49565.973644206373</v>
      </c>
      <c r="C139" s="54">
        <f t="shared" si="8"/>
        <v>13151.986968464025</v>
      </c>
      <c r="D139" s="54">
        <f t="shared" si="9"/>
        <v>36413.986675742344</v>
      </c>
      <c r="E139" s="54">
        <f>'Résultat exploitation'!$E$68</f>
        <v>3618.0643248000006</v>
      </c>
      <c r="F139" s="54">
        <f>'Résultat exploitation'!$F$68</f>
        <v>24421.918000000005</v>
      </c>
      <c r="G139" s="54">
        <f t="shared" si="10"/>
        <v>8374.0043509423413</v>
      </c>
      <c r="H139" s="54">
        <f>'Résultat exploitation'!$H$68</f>
        <v>809.91000000000008</v>
      </c>
      <c r="I139" s="54">
        <f t="shared" si="11"/>
        <v>7564.0943509423414</v>
      </c>
      <c r="J139" s="54">
        <f>'Coûts &amp; variables'!C197</f>
        <v>101.96466548787794</v>
      </c>
      <c r="K139" s="54">
        <f t="shared" si="12"/>
        <v>7462.1296854544635</v>
      </c>
      <c r="L139" s="54">
        <f t="shared" si="13"/>
        <v>1865.5324213636159</v>
      </c>
      <c r="M139" s="54">
        <f t="shared" si="14"/>
        <v>5596.5972640908476</v>
      </c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</row>
    <row r="140" spans="1:35" ht="16" x14ac:dyDescent="0.2">
      <c r="A140" s="54" t="s">
        <v>329</v>
      </c>
      <c r="B140" s="54">
        <f t="shared" si="7"/>
        <v>62890.160107702708</v>
      </c>
      <c r="C140" s="54">
        <f t="shared" si="8"/>
        <v>16687.467336330697</v>
      </c>
      <c r="D140" s="54">
        <f t="shared" si="9"/>
        <v>46202.692771372007</v>
      </c>
      <c r="E140" s="54">
        <f>'Résultat exploitation'!$E$68</f>
        <v>3618.0643248000006</v>
      </c>
      <c r="F140" s="54">
        <f>'Résultat exploitation'!$F$68</f>
        <v>24421.918000000005</v>
      </c>
      <c r="G140" s="54">
        <f t="shared" si="10"/>
        <v>18162.710446572004</v>
      </c>
      <c r="H140" s="54">
        <f>'Résultat exploitation'!$H$68</f>
        <v>809.91000000000008</v>
      </c>
      <c r="I140" s="54">
        <f t="shared" si="11"/>
        <v>17352.800446572004</v>
      </c>
      <c r="J140" s="54">
        <f>'Coûts &amp; variables'!C198</f>
        <v>98.203905805223997</v>
      </c>
      <c r="K140" s="54">
        <f t="shared" si="12"/>
        <v>17254.596540766779</v>
      </c>
      <c r="L140" s="54">
        <f t="shared" si="13"/>
        <v>4313.6491351916948</v>
      </c>
      <c r="M140" s="54">
        <f t="shared" si="14"/>
        <v>12940.947405575083</v>
      </c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</row>
    <row r="141" spans="1:35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</row>
    <row r="142" spans="1:35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</row>
    <row r="143" spans="1:35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</row>
    <row r="144" spans="1:35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</row>
    <row r="145" spans="1:35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</row>
    <row r="146" spans="1:35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</row>
    <row r="147" spans="1:35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</row>
    <row r="148" spans="1:35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</row>
    <row r="149" spans="1:35" ht="19" x14ac:dyDescent="0.25">
      <c r="A149" s="127" t="s">
        <v>266</v>
      </c>
      <c r="B149" s="127"/>
      <c r="C149" s="127"/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  <c r="N149" s="127"/>
      <c r="O149" s="127"/>
      <c r="P149" s="127"/>
      <c r="Q149" s="127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</row>
    <row r="150" spans="1:35" ht="16" x14ac:dyDescent="0.2">
      <c r="A150" s="75" t="s">
        <v>4</v>
      </c>
      <c r="B150" s="75" t="s">
        <v>267</v>
      </c>
      <c r="C150" s="75" t="s">
        <v>195</v>
      </c>
      <c r="D150" s="75" t="s">
        <v>268</v>
      </c>
      <c r="E150" s="75" t="s">
        <v>19</v>
      </c>
      <c r="F150" s="75" t="s">
        <v>132</v>
      </c>
      <c r="G150" s="75" t="s">
        <v>204</v>
      </c>
      <c r="H150" s="75" t="s">
        <v>205</v>
      </c>
      <c r="I150" s="75" t="s">
        <v>206</v>
      </c>
      <c r="J150" s="75" t="s">
        <v>207</v>
      </c>
      <c r="K150" s="75" t="s">
        <v>208</v>
      </c>
      <c r="L150" s="75" t="s">
        <v>209</v>
      </c>
      <c r="M150" s="75" t="s">
        <v>210</v>
      </c>
      <c r="N150" s="76" t="s">
        <v>211</v>
      </c>
      <c r="O150" s="75" t="s">
        <v>214</v>
      </c>
      <c r="P150" s="75" t="s">
        <v>212</v>
      </c>
      <c r="Q150" s="75" t="s">
        <v>213</v>
      </c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</row>
    <row r="151" spans="1:35" ht="16" x14ac:dyDescent="0.2">
      <c r="A151" s="19" t="s">
        <v>299</v>
      </c>
      <c r="B151" s="19">
        <f>B117</f>
        <v>45535.083836414669</v>
      </c>
      <c r="C151" s="19">
        <f>C117</f>
        <v>12444.89089489069</v>
      </c>
      <c r="D151" s="19">
        <f>F117</f>
        <v>24421.918000000005</v>
      </c>
      <c r="E151" s="19">
        <f>'Trésorerie mensuelle'!$F$65</f>
        <v>15913.5</v>
      </c>
      <c r="F151" s="19">
        <f>G117</f>
        <v>5050.2106167239726</v>
      </c>
      <c r="G151" s="19" cm="1">
        <f t="array" ref="G151:G174">C117:C140*0.33</f>
        <v>4106.813995313928</v>
      </c>
      <c r="H151" s="19">
        <f>IF(F151-I151-('Coûts &amp; variables'!$I$134)&lt;=0,0,(F151-I151-('Coûts &amp; variables'!$I$134))*0.25)</f>
        <v>1014.6719922016646</v>
      </c>
      <c r="I151" s="19">
        <f>J117</f>
        <v>181.61264791731421</v>
      </c>
      <c r="J151" s="19">
        <f>'Coûts &amp; variables'!D175</f>
        <v>1048.5799223667427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f>F151-G151-H151-I151-J151+K151+L151+M151+N151+O151</f>
        <v>-1301.4679410756769</v>
      </c>
      <c r="Q151" s="19">
        <f>'Trésorerie mensuelle'!R65+'5ans'!P151</f>
        <v>17680.888133755881</v>
      </c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</row>
    <row r="152" spans="1:35" ht="16" x14ac:dyDescent="0.2">
      <c r="A152" s="19" t="s">
        <v>300</v>
      </c>
      <c r="B152" s="19">
        <f t="shared" ref="B152:C152" si="15">B118</f>
        <v>48122.304508938229</v>
      </c>
      <c r="C152" s="19">
        <f t="shared" si="15"/>
        <v>13151.986968464025</v>
      </c>
      <c r="D152" s="19">
        <f t="shared" ref="D152:D173" si="16">F118</f>
        <v>24421.918000000005</v>
      </c>
      <c r="E152" s="19">
        <f>'Trésorerie mensuelle'!$F$65</f>
        <v>15913.5</v>
      </c>
      <c r="F152" s="19">
        <f t="shared" ref="F152:F174" si="17">G118</f>
        <v>6930.3352156742003</v>
      </c>
      <c r="G152" s="19">
        <v>4340.1556995931287</v>
      </c>
      <c r="H152" s="19">
        <f>IF(F152-I152-('Coûts &amp; variables'!$I$134)&lt;=0,0,(F152-I152-('Coûts &amp; variables'!$I$134))*0.25)</f>
        <v>1485.5769585411938</v>
      </c>
      <c r="I152" s="19">
        <f t="shared" ref="I152:I174" si="18">J118</f>
        <v>178.11738150942506</v>
      </c>
      <c r="J152" s="19">
        <f>'Coûts &amp; variables'!D176</f>
        <v>1052.0751887746319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f t="shared" ref="P152:P174" si="19">F152-G152-H152-I152-J152+K152+L152+M152+N152+O152</f>
        <v>-125.59001274417915</v>
      </c>
      <c r="Q152" s="19">
        <f>Q151+P152</f>
        <v>17555.298121011703</v>
      </c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</row>
    <row r="153" spans="1:35" ht="16" x14ac:dyDescent="0.2">
      <c r="A153" s="19" t="s">
        <v>301</v>
      </c>
      <c r="B153" s="19">
        <f t="shared" ref="B153:C153" si="20">B119</f>
        <v>53296.745853985354</v>
      </c>
      <c r="C153" s="19">
        <f t="shared" si="20"/>
        <v>14566.179115610696</v>
      </c>
      <c r="D153" s="19">
        <f t="shared" si="16"/>
        <v>24421.918000000005</v>
      </c>
      <c r="E153" s="19">
        <f>'Trésorerie mensuelle'!$F$65</f>
        <v>15913.5</v>
      </c>
      <c r="F153" s="19">
        <f t="shared" si="17"/>
        <v>10690.584413574659</v>
      </c>
      <c r="G153" s="19">
        <v>4806.8391081515301</v>
      </c>
      <c r="H153" s="19">
        <f>IF(F153-I153-('Coûts &amp; variables'!$I$134)&lt;=0,0,(F153-I153-('Coûts &amp; variables'!$I$134))*0.25)</f>
        <v>2426.5159873402877</v>
      </c>
      <c r="I153" s="19">
        <f t="shared" si="18"/>
        <v>174.61046421350963</v>
      </c>
      <c r="J153" s="19">
        <f>'Coûts &amp; variables'!D177</f>
        <v>1055.5821060705473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  <c r="P153" s="19">
        <f t="shared" si="19"/>
        <v>2227.0367477987847</v>
      </c>
      <c r="Q153" s="19">
        <f t="shared" ref="Q153:Q174" si="21">Q152+P153</f>
        <v>19782.334868810489</v>
      </c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</row>
    <row r="154" spans="1:35" ht="16" x14ac:dyDescent="0.2">
      <c r="A154" s="19" t="s">
        <v>302</v>
      </c>
      <c r="B154" s="19">
        <f t="shared" ref="B154:C154" si="22">B120</f>
        <v>55883.966526508913</v>
      </c>
      <c r="C154" s="19">
        <f t="shared" si="22"/>
        <v>15273.275189184031</v>
      </c>
      <c r="D154" s="19">
        <f t="shared" si="16"/>
        <v>24421.918000000005</v>
      </c>
      <c r="E154" s="19">
        <f>'Trésorerie mensuelle'!$F$65</f>
        <v>15913.5</v>
      </c>
      <c r="F154" s="19">
        <f t="shared" si="17"/>
        <v>12570.70901252488</v>
      </c>
      <c r="G154" s="19">
        <v>5040.1808124307308</v>
      </c>
      <c r="H154" s="19">
        <f>IF(F154-I154-('Coûts &amp; variables'!$I$134)&lt;=0,0,(F154-I154-('Coûts &amp; variables'!$I$134))*0.25)</f>
        <v>2897.4267888329014</v>
      </c>
      <c r="I154" s="19">
        <f t="shared" si="18"/>
        <v>171.09185719327448</v>
      </c>
      <c r="J154" s="19">
        <f>'Coûts &amp; variables'!D178</f>
        <v>1059.1007130907824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f t="shared" si="19"/>
        <v>3402.9088409771907</v>
      </c>
      <c r="Q154" s="19">
        <f t="shared" si="21"/>
        <v>23185.243709787679</v>
      </c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</row>
    <row r="155" spans="1:35" ht="16" x14ac:dyDescent="0.2">
      <c r="A155" s="19" t="s">
        <v>303</v>
      </c>
      <c r="B155" s="19">
        <f t="shared" ref="B155:C155" si="23">B121</f>
        <v>58471.187199032473</v>
      </c>
      <c r="C155" s="19">
        <f t="shared" si="23"/>
        <v>15980.371262757362</v>
      </c>
      <c r="D155" s="19">
        <f t="shared" si="16"/>
        <v>24421.918000000005</v>
      </c>
      <c r="E155" s="19">
        <f>'Trésorerie mensuelle'!$F$65</f>
        <v>15913.5</v>
      </c>
      <c r="F155" s="19">
        <f t="shared" si="17"/>
        <v>14450.833611475107</v>
      </c>
      <c r="G155" s="19">
        <v>5273.5225167099297</v>
      </c>
      <c r="H155" s="19">
        <f>IF(F155-I155-('Coûts &amp; variables'!$I$134)&lt;=0,0,(F155-I155-('Coûts &amp; variables'!$I$134))*0.25)</f>
        <v>3368.3405224980338</v>
      </c>
      <c r="I155" s="19">
        <f t="shared" si="18"/>
        <v>167.56152148297187</v>
      </c>
      <c r="J155" s="19">
        <f>'Coûts &amp; variables'!D179</f>
        <v>1062.6310488010852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  <c r="P155" s="19">
        <f t="shared" si="19"/>
        <v>4578.7780019830852</v>
      </c>
      <c r="Q155" s="19">
        <f t="shared" si="21"/>
        <v>27764.021711770765</v>
      </c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</row>
    <row r="156" spans="1:35" ht="16" x14ac:dyDescent="0.2">
      <c r="A156" s="19" t="s">
        <v>304</v>
      </c>
      <c r="B156" s="19">
        <f t="shared" ref="B156:C156" si="24">B122</f>
        <v>55883.966526508913</v>
      </c>
      <c r="C156" s="19">
        <f t="shared" si="24"/>
        <v>15273.275189184031</v>
      </c>
      <c r="D156" s="19">
        <f t="shared" si="16"/>
        <v>24421.918000000005</v>
      </c>
      <c r="E156" s="19">
        <f>'Trésorerie mensuelle'!$F$65</f>
        <v>15913.5</v>
      </c>
      <c r="F156" s="19">
        <f t="shared" si="17"/>
        <v>12570.70901252488</v>
      </c>
      <c r="G156" s="19">
        <v>5040.1808124307308</v>
      </c>
      <c r="H156" s="19">
        <f>IF(F156-I156-('Coûts &amp; variables'!$I$134)&lt;=0,0,(F156-I156-('Coûts &amp; variables'!$I$134))*0.25)</f>
        <v>2899.1948986344778</v>
      </c>
      <c r="I156" s="19">
        <f t="shared" si="18"/>
        <v>164.01941798696825</v>
      </c>
      <c r="J156" s="19">
        <f>'Coûts &amp; variables'!D180</f>
        <v>1066.1731522970888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f t="shared" si="19"/>
        <v>3401.1407311756138</v>
      </c>
      <c r="Q156" s="19">
        <f t="shared" si="21"/>
        <v>31165.162442946377</v>
      </c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</row>
    <row r="157" spans="1:35" ht="16" x14ac:dyDescent="0.2">
      <c r="A157" s="19" t="s">
        <v>305</v>
      </c>
      <c r="B157" s="19">
        <f t="shared" ref="B157:C157" si="25">B123</f>
        <v>45535.083836414669</v>
      </c>
      <c r="C157" s="19">
        <f t="shared" si="25"/>
        <v>12444.89089489069</v>
      </c>
      <c r="D157" s="19">
        <f t="shared" si="16"/>
        <v>24421.918000000005</v>
      </c>
      <c r="E157" s="19">
        <f>'Trésorerie mensuelle'!$F$65</f>
        <v>15913.5</v>
      </c>
      <c r="F157" s="19">
        <f t="shared" si="17"/>
        <v>5050.2106167239726</v>
      </c>
      <c r="G157" s="19">
        <v>4106.813995313928</v>
      </c>
      <c r="H157" s="19">
        <f>IF(F157-I157-('Coûts &amp; variables'!$I$134)&lt;=0,0,(F157-I157-('Coûts &amp; variables'!$I$134))*0.25)</f>
        <v>1019.9587773111655</v>
      </c>
      <c r="I157" s="19">
        <f t="shared" si="18"/>
        <v>160.46550747931127</v>
      </c>
      <c r="J157" s="19">
        <f>'Coûts &amp; variables'!D181</f>
        <v>1069.7270628047456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f t="shared" si="19"/>
        <v>-1306.7547261851778</v>
      </c>
      <c r="Q157" s="19">
        <f t="shared" si="21"/>
        <v>29858.407716761198</v>
      </c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</row>
    <row r="158" spans="1:35" ht="16" x14ac:dyDescent="0.2">
      <c r="A158" s="19" t="s">
        <v>306</v>
      </c>
      <c r="B158" s="19">
        <f t="shared" ref="B158:C158" si="26">B124</f>
        <v>39843.198356862835</v>
      </c>
      <c r="C158" s="19">
        <f t="shared" si="26"/>
        <v>10889.279533029356</v>
      </c>
      <c r="D158" s="19">
        <f t="shared" si="16"/>
        <v>24421.918000000005</v>
      </c>
      <c r="E158" s="19">
        <f>'Trésorerie mensuelle'!$F$65</f>
        <v>15913.5</v>
      </c>
      <c r="F158" s="19">
        <f t="shared" si="17"/>
        <v>913.9364990334725</v>
      </c>
      <c r="G158" s="19">
        <v>3593.4622458996873</v>
      </c>
      <c r="H158" s="19">
        <f>IF(F158-I158-('Coûts &amp; variables'!$I$134)&lt;=0,0,(F158-I158-('Coûts &amp; variables'!$I$134))*0.25)</f>
        <v>0</v>
      </c>
      <c r="I158" s="19">
        <f t="shared" si="18"/>
        <v>156.89975060329544</v>
      </c>
      <c r="J158" s="19">
        <f>'Coûts &amp; variables'!D182</f>
        <v>1073.2928196807616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f t="shared" si="19"/>
        <v>-3909.718317150272</v>
      </c>
      <c r="Q158" s="19">
        <f t="shared" si="21"/>
        <v>25948.689399610925</v>
      </c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</row>
    <row r="159" spans="1:35" ht="16" x14ac:dyDescent="0.2">
      <c r="A159" s="19" t="s">
        <v>307</v>
      </c>
      <c r="B159" s="19">
        <f t="shared" ref="B159:C159" si="27">B125</f>
        <v>53296.745853985354</v>
      </c>
      <c r="C159" s="19">
        <f t="shared" si="27"/>
        <v>14566.179115610696</v>
      </c>
      <c r="D159" s="19">
        <f t="shared" si="16"/>
        <v>24421.918000000005</v>
      </c>
      <c r="E159" s="19">
        <f>'Trésorerie mensuelle'!$F$65</f>
        <v>15913.5</v>
      </c>
      <c r="F159" s="19">
        <f t="shared" si="17"/>
        <v>10690.584413574659</v>
      </c>
      <c r="G159" s="19">
        <v>4806.8391081515301</v>
      </c>
      <c r="H159" s="19">
        <f>IF(F159-I159-('Coûts &amp; variables'!$I$134)&lt;=0,0,(F159-I159-('Coûts &amp; variables'!$I$134))*0.25)</f>
        <v>2431.8380764259082</v>
      </c>
      <c r="I159" s="19">
        <f t="shared" si="18"/>
        <v>153.32210787102625</v>
      </c>
      <c r="J159" s="19">
        <f>'Coûts &amp; variables'!D183</f>
        <v>1076.8704624130307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f t="shared" si="19"/>
        <v>2221.7146587131638</v>
      </c>
      <c r="Q159" s="19">
        <f t="shared" si="21"/>
        <v>28170.404058324089</v>
      </c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</row>
    <row r="160" spans="1:35" ht="16" x14ac:dyDescent="0.2">
      <c r="A160" s="19" t="s">
        <v>308</v>
      </c>
      <c r="B160" s="19">
        <f t="shared" ref="B160:C160" si="28">B126</f>
        <v>55883.966526508913</v>
      </c>
      <c r="C160" s="19">
        <f t="shared" si="28"/>
        <v>15273.275189184031</v>
      </c>
      <c r="D160" s="19">
        <f t="shared" si="16"/>
        <v>24421.918000000005</v>
      </c>
      <c r="E160" s="19">
        <f>'Trésorerie mensuelle'!$F$65</f>
        <v>15913.5</v>
      </c>
      <c r="F160" s="19">
        <f t="shared" si="17"/>
        <v>12570.70901252488</v>
      </c>
      <c r="G160" s="19">
        <v>5040.1808124307308</v>
      </c>
      <c r="H160" s="19">
        <f>IF(F160-I160-('Coûts &amp; variables'!$I$134)&lt;=0,0,(F160-I160-('Coûts &amp; variables'!$I$134))*0.25)</f>
        <v>2902.7666182154744</v>
      </c>
      <c r="I160" s="19">
        <f t="shared" si="18"/>
        <v>149.73253966298282</v>
      </c>
      <c r="J160" s="19">
        <f>'Coûts &amp; variables'!D184</f>
        <v>1080.4600306210741</v>
      </c>
      <c r="K160" s="19">
        <v>0</v>
      </c>
      <c r="L160" s="19">
        <v>0</v>
      </c>
      <c r="M160" s="19">
        <v>0</v>
      </c>
      <c r="N160" s="19">
        <v>0</v>
      </c>
      <c r="O160" s="19">
        <v>0</v>
      </c>
      <c r="P160" s="19">
        <f t="shared" si="19"/>
        <v>3397.5690115946172</v>
      </c>
      <c r="Q160" s="19">
        <f t="shared" si="21"/>
        <v>31567.973069918706</v>
      </c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</row>
    <row r="161" spans="1:35" ht="16" x14ac:dyDescent="0.2">
      <c r="A161" s="19" t="s">
        <v>309</v>
      </c>
      <c r="B161" s="19">
        <f t="shared" ref="B161:C161" si="29">B127</f>
        <v>48122.304508938229</v>
      </c>
      <c r="C161" s="19">
        <f t="shared" si="29"/>
        <v>13151.986968464025</v>
      </c>
      <c r="D161" s="19">
        <f t="shared" si="16"/>
        <v>24421.918000000005</v>
      </c>
      <c r="E161" s="19">
        <f>'Trésorerie mensuelle'!$F$65</f>
        <v>15913.5</v>
      </c>
      <c r="F161" s="19">
        <f t="shared" si="17"/>
        <v>6930.3352156742003</v>
      </c>
      <c r="G161" s="19">
        <v>4340.1556995931287</v>
      </c>
      <c r="H161" s="19">
        <f>IF(F161-I161-('Coûts &amp; variables'!$I$134)&lt;=0,0,(F161-I161-('Coûts &amp; variables'!$I$134))*0.25)</f>
        <v>1493.5735523616554</v>
      </c>
      <c r="I161" s="19">
        <f t="shared" si="18"/>
        <v>146.13100622757921</v>
      </c>
      <c r="J161" s="19">
        <f>'Coûts &amp; variables'!D185</f>
        <v>1084.0615640564777</v>
      </c>
      <c r="K161" s="19">
        <v>0</v>
      </c>
      <c r="L161" s="19">
        <v>0</v>
      </c>
      <c r="M161" s="19">
        <v>0</v>
      </c>
      <c r="N161" s="19">
        <v>0</v>
      </c>
      <c r="O161" s="19">
        <v>0</v>
      </c>
      <c r="P161" s="19">
        <f t="shared" si="19"/>
        <v>-133.58660656464065</v>
      </c>
      <c r="Q161" s="19">
        <f t="shared" si="21"/>
        <v>31434.386463354065</v>
      </c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</row>
    <row r="162" spans="1:35" ht="16" x14ac:dyDescent="0.2">
      <c r="A162" s="19" t="s">
        <v>310</v>
      </c>
      <c r="B162" s="19">
        <f t="shared" ref="B162:C162" si="30">B128</f>
        <v>61058.407871556032</v>
      </c>
      <c r="C162" s="19">
        <f t="shared" si="30"/>
        <v>16687.467336330697</v>
      </c>
      <c r="D162" s="19">
        <f t="shared" si="16"/>
        <v>24421.918000000005</v>
      </c>
      <c r="E162" s="19">
        <f>'Trésorerie mensuelle'!$F$65</f>
        <v>15913.5</v>
      </c>
      <c r="F162" s="19">
        <f t="shared" si="17"/>
        <v>16330.958210425335</v>
      </c>
      <c r="G162" s="19">
        <v>5506.8642209891304</v>
      </c>
      <c r="H162" s="19">
        <f>IF(F162-I162-('Coûts &amp; variables'!$I$134)&lt;=0,0,(F162-I162-('Coûts &amp; variables'!$I$134))*0.25)</f>
        <v>3844.6326856861529</v>
      </c>
      <c r="I162" s="19">
        <f t="shared" si="18"/>
        <v>142.51746768072428</v>
      </c>
      <c r="J162" s="19">
        <f>'Coûts &amp; variables'!D186</f>
        <v>1087.6751026033326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f t="shared" si="19"/>
        <v>5749.2687334659959</v>
      </c>
      <c r="Q162" s="19">
        <f t="shared" si="21"/>
        <v>37183.655196820058</v>
      </c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</row>
    <row r="163" spans="1:35" ht="16" x14ac:dyDescent="0.2">
      <c r="A163" s="19" t="s">
        <v>318</v>
      </c>
      <c r="B163" s="19">
        <f t="shared" ref="B163:C163" si="31">B129</f>
        <v>46901.136351507106</v>
      </c>
      <c r="C163" s="19">
        <f t="shared" si="31"/>
        <v>12444.89089489069</v>
      </c>
      <c r="D163" s="19">
        <f t="shared" si="16"/>
        <v>24421.918000000005</v>
      </c>
      <c r="E163" s="19">
        <f>'Trésorerie mensuelle'!$F$65</f>
        <v>15913.5</v>
      </c>
      <c r="F163" s="19">
        <f t="shared" si="17"/>
        <v>6416.2631318164094</v>
      </c>
      <c r="G163" s="19">
        <v>4106.813995313928</v>
      </c>
      <c r="H163" s="19">
        <f>IF(F163-I163-('Coûts &amp; variables'!$I$134)&lt;=0,0,(F163-I163-('Coûts &amp; variables'!$I$134))*0.25)</f>
        <v>1366.8653119527573</v>
      </c>
      <c r="I163" s="19">
        <f t="shared" si="18"/>
        <v>138.89188400537984</v>
      </c>
      <c r="J163" s="19">
        <f>'Coûts &amp; variables'!D187</f>
        <v>1091.3006862786772</v>
      </c>
      <c r="K163" s="19">
        <v>0</v>
      </c>
      <c r="L163" s="19">
        <v>0</v>
      </c>
      <c r="M163" s="19">
        <v>0</v>
      </c>
      <c r="N163" s="19">
        <v>0</v>
      </c>
      <c r="O163" s="19">
        <v>0</v>
      </c>
      <c r="P163" s="19">
        <f t="shared" si="19"/>
        <v>-287.60874573433284</v>
      </c>
      <c r="Q163" s="19">
        <f t="shared" si="21"/>
        <v>36896.046451085727</v>
      </c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</row>
    <row r="164" spans="1:35" ht="16" x14ac:dyDescent="0.2">
      <c r="A164" s="19" t="s">
        <v>319</v>
      </c>
      <c r="B164" s="19">
        <f t="shared" ref="B164:C164" si="32">B130</f>
        <v>49565.973644206373</v>
      </c>
      <c r="C164" s="19">
        <f t="shared" si="32"/>
        <v>13151.986968464025</v>
      </c>
      <c r="D164" s="19">
        <f t="shared" si="16"/>
        <v>24421.918000000005</v>
      </c>
      <c r="E164" s="19">
        <f>'Trésorerie mensuelle'!$F$65</f>
        <v>15913.5</v>
      </c>
      <c r="F164" s="19">
        <f t="shared" si="17"/>
        <v>8374.0043509423413</v>
      </c>
      <c r="G164" s="19">
        <v>4340.1556995931287</v>
      </c>
      <c r="H164" s="19">
        <f>IF(F164-I164-('Coûts &amp; variables'!$I$134)&lt;=0,0,(F164-I164-('Coûts &amp; variables'!$I$134))*0.25)</f>
        <v>1857.2100339728058</v>
      </c>
      <c r="I164" s="19">
        <f t="shared" si="18"/>
        <v>135.25421505111757</v>
      </c>
      <c r="J164" s="19">
        <f>'Coûts &amp; variables'!D188</f>
        <v>1094.9383552329393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  <c r="P164" s="19">
        <f t="shared" si="19"/>
        <v>946.44604709234977</v>
      </c>
      <c r="Q164" s="19">
        <f t="shared" si="21"/>
        <v>37842.492498178079</v>
      </c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</row>
    <row r="165" spans="1:35" ht="16" x14ac:dyDescent="0.2">
      <c r="A165" s="19" t="s">
        <v>320</v>
      </c>
      <c r="B165" s="19">
        <f t="shared" ref="B165:C165" si="33">B131</f>
        <v>54895.648229604914</v>
      </c>
      <c r="C165" s="19">
        <f t="shared" si="33"/>
        <v>14566.179115610696</v>
      </c>
      <c r="D165" s="19">
        <f t="shared" si="16"/>
        <v>24421.918000000005</v>
      </c>
      <c r="E165" s="19">
        <f>'Trésorerie mensuelle'!$F$65</f>
        <v>15913.5</v>
      </c>
      <c r="F165" s="19">
        <f t="shared" si="17"/>
        <v>12289.486789194212</v>
      </c>
      <c r="G165" s="19">
        <v>4806.8391081515301</v>
      </c>
      <c r="H165" s="19">
        <f>IF(F165-I165-('Coûts &amp; variables'!$I$134)&lt;=0,0,(F165-I165-('Coûts &amp; variables'!$I$134))*0.25)</f>
        <v>2836.9930921651344</v>
      </c>
      <c r="I165" s="19">
        <f t="shared" si="18"/>
        <v>131.60442053367444</v>
      </c>
      <c r="J165" s="19">
        <f>'Coûts &amp; variables'!D189</f>
        <v>1098.5881497503824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f t="shared" si="19"/>
        <v>3415.46201859349</v>
      </c>
      <c r="Q165" s="19">
        <f t="shared" si="21"/>
        <v>41257.95451677157</v>
      </c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</row>
    <row r="166" spans="1:35" ht="16" x14ac:dyDescent="0.2">
      <c r="A166" s="19" t="s">
        <v>321</v>
      </c>
      <c r="B166" s="19">
        <f t="shared" ref="B166:C166" si="34">B132</f>
        <v>57560.485522304181</v>
      </c>
      <c r="C166" s="19">
        <f t="shared" si="34"/>
        <v>15273.275189184031</v>
      </c>
      <c r="D166" s="19">
        <f t="shared" si="16"/>
        <v>24421.918000000005</v>
      </c>
      <c r="E166" s="19">
        <f>'Trésorerie mensuelle'!$F$65</f>
        <v>15913.5</v>
      </c>
      <c r="F166" s="19">
        <f t="shared" si="17"/>
        <v>14247.228008320148</v>
      </c>
      <c r="G166" s="19">
        <v>5040.1808124307308</v>
      </c>
      <c r="H166" s="19">
        <f>IF(F166-I166-('Coûts &amp; variables'!$I$134)&lt;=0,0,(F166-I166-('Coûts &amp; variables'!$I$134))*0.25)</f>
        <v>3327.3438870714103</v>
      </c>
      <c r="I166" s="19">
        <f t="shared" si="18"/>
        <v>127.94246003450652</v>
      </c>
      <c r="J166" s="19">
        <f>'Coûts &amp; variables'!D190</f>
        <v>1102.2501102495505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19">
        <f t="shared" si="19"/>
        <v>4649.5107385339479</v>
      </c>
      <c r="Q166" s="19">
        <f t="shared" si="21"/>
        <v>45907.46525530552</v>
      </c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</row>
    <row r="167" spans="1:35" ht="16" x14ac:dyDescent="0.2">
      <c r="A167" s="19" t="s">
        <v>322</v>
      </c>
      <c r="B167" s="19">
        <f t="shared" ref="B167:C167" si="35">B133</f>
        <v>60225.322815003441</v>
      </c>
      <c r="C167" s="19">
        <f t="shared" si="35"/>
        <v>15980.371262757362</v>
      </c>
      <c r="D167" s="19">
        <f t="shared" si="16"/>
        <v>24421.918000000005</v>
      </c>
      <c r="E167" s="19">
        <f>'Trésorerie mensuelle'!$F$65</f>
        <v>15913.5</v>
      </c>
      <c r="F167" s="19">
        <f t="shared" si="17"/>
        <v>16204.969227446076</v>
      </c>
      <c r="G167" s="19">
        <v>5273.5225167099297</v>
      </c>
      <c r="H167" s="19">
        <f>IF(F167-I167-('Coûts &amp; variables'!$I$134)&lt;=0,0,(F167-I167-('Coûts &amp; variables'!$I$134))*0.25)</f>
        <v>3817.6977336114337</v>
      </c>
      <c r="I167" s="19">
        <f t="shared" si="18"/>
        <v>124.26829300034134</v>
      </c>
      <c r="J167" s="19">
        <f>'Coûts &amp; variables'!D191</f>
        <v>1105.9242772837156</v>
      </c>
      <c r="K167" s="19">
        <v>0</v>
      </c>
      <c r="L167" s="19">
        <v>0</v>
      </c>
      <c r="M167" s="19">
        <v>0</v>
      </c>
      <c r="N167" s="19">
        <v>0</v>
      </c>
      <c r="O167" s="19">
        <v>0</v>
      </c>
      <c r="P167" s="19">
        <f t="shared" si="19"/>
        <v>5883.5564068406547</v>
      </c>
      <c r="Q167" s="19">
        <f t="shared" si="21"/>
        <v>51791.021662146173</v>
      </c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</row>
    <row r="168" spans="1:35" ht="16" x14ac:dyDescent="0.2">
      <c r="A168" s="19" t="s">
        <v>323</v>
      </c>
      <c r="B168" s="19">
        <f t="shared" ref="B168:C168" si="36">B134</f>
        <v>57560.485522304181</v>
      </c>
      <c r="C168" s="19">
        <f t="shared" si="36"/>
        <v>15273.275189184031</v>
      </c>
      <c r="D168" s="19">
        <f t="shared" si="16"/>
        <v>24421.918000000005</v>
      </c>
      <c r="E168" s="19">
        <f>'Trésorerie mensuelle'!$F$65</f>
        <v>15913.5</v>
      </c>
      <c r="F168" s="19">
        <f t="shared" si="17"/>
        <v>14247.228008320148</v>
      </c>
      <c r="G168" s="19">
        <v>5040.1808124307308</v>
      </c>
      <c r="H168" s="19">
        <f>IF(F168-I168-('Coûts &amp; variables'!$I$134)&lt;=0,0,(F168-I168-('Coûts &amp; variables'!$I$134))*0.25)</f>
        <v>3329.1840323943547</v>
      </c>
      <c r="I168" s="19">
        <f t="shared" si="18"/>
        <v>120.58187874272896</v>
      </c>
      <c r="J168" s="19">
        <f>'Coûts &amp; variables'!D192</f>
        <v>1109.6106915413279</v>
      </c>
      <c r="K168" s="19">
        <v>0</v>
      </c>
      <c r="L168" s="19">
        <v>0</v>
      </c>
      <c r="M168" s="19">
        <v>0</v>
      </c>
      <c r="N168" s="19">
        <v>0</v>
      </c>
      <c r="O168" s="19">
        <v>0</v>
      </c>
      <c r="P168" s="19">
        <f t="shared" si="19"/>
        <v>4647.6705932110053</v>
      </c>
      <c r="Q168" s="19">
        <f t="shared" si="21"/>
        <v>56438.692255357179</v>
      </c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</row>
    <row r="169" spans="1:35" ht="16" x14ac:dyDescent="0.2">
      <c r="A169" s="19" t="s">
        <v>324</v>
      </c>
      <c r="B169" s="19">
        <f t="shared" ref="B169:C169" si="37">B135</f>
        <v>46901.136351507106</v>
      </c>
      <c r="C169" s="19">
        <f t="shared" si="37"/>
        <v>12444.89089489069</v>
      </c>
      <c r="D169" s="19">
        <f t="shared" si="16"/>
        <v>24421.918000000005</v>
      </c>
      <c r="E169" s="19">
        <f>'Trésorerie mensuelle'!$F$65</f>
        <v>15913.5</v>
      </c>
      <c r="F169" s="19">
        <f t="shared" si="17"/>
        <v>6416.2631318164094</v>
      </c>
      <c r="G169" s="19">
        <v>4106.813995313928</v>
      </c>
      <c r="H169" s="19">
        <f>IF(F169-I169-('Coûts &amp; variables'!$I$134)&lt;=0,0,(F169-I169-('Coûts &amp; variables'!$I$134))*0.25)</f>
        <v>1372.3674888447047</v>
      </c>
      <c r="I169" s="19">
        <f t="shared" si="18"/>
        <v>116.8831764375912</v>
      </c>
      <c r="J169" s="19">
        <f>'Coûts &amp; variables'!D193</f>
        <v>1113.3093938464658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f t="shared" si="19"/>
        <v>-293.11092262628017</v>
      </c>
      <c r="Q169" s="19">
        <f t="shared" si="21"/>
        <v>56145.581332730901</v>
      </c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</row>
    <row r="170" spans="1:35" ht="16" x14ac:dyDescent="0.2">
      <c r="A170" s="19" t="s">
        <v>325</v>
      </c>
      <c r="B170" s="19">
        <f t="shared" ref="B170:C170" si="38">B136</f>
        <v>41038.494307568719</v>
      </c>
      <c r="C170" s="19">
        <f t="shared" si="38"/>
        <v>10889.279533029356</v>
      </c>
      <c r="D170" s="19">
        <f t="shared" si="16"/>
        <v>24421.918000000005</v>
      </c>
      <c r="E170" s="19">
        <f>'Trésorerie mensuelle'!$F$65</f>
        <v>15913.5</v>
      </c>
      <c r="F170" s="19">
        <f t="shared" si="17"/>
        <v>2109.2324497393565</v>
      </c>
      <c r="G170" s="19">
        <v>3593.4622458996873</v>
      </c>
      <c r="H170" s="19">
        <f>IF(F170-I170-('Coûts &amp; variables'!$I$134)&lt;=0,0,(F170-I170-('Coûts &amp; variables'!$I$134))*0.25)</f>
        <v>296.53757615364668</v>
      </c>
      <c r="I170" s="19">
        <f t="shared" si="18"/>
        <v>113.17214512476966</v>
      </c>
      <c r="J170" s="19">
        <f>'Coûts &amp; variables'!D194</f>
        <v>1117.0204251592872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f t="shared" si="19"/>
        <v>-3010.9599425980341</v>
      </c>
      <c r="Q170" s="19">
        <f t="shared" si="21"/>
        <v>53134.621390132867</v>
      </c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</row>
    <row r="171" spans="1:35" ht="16" x14ac:dyDescent="0.2">
      <c r="A171" s="19" t="s">
        <v>326</v>
      </c>
      <c r="B171" s="19">
        <f t="shared" ref="B171:C171" si="39">B137</f>
        <v>54895.648229604914</v>
      </c>
      <c r="C171" s="19">
        <f t="shared" si="39"/>
        <v>14566.179115610696</v>
      </c>
      <c r="D171" s="19">
        <f t="shared" si="16"/>
        <v>24421.918000000005</v>
      </c>
      <c r="E171" s="19">
        <f>'Trésorerie mensuelle'!$F$65</f>
        <v>15913.5</v>
      </c>
      <c r="F171" s="19">
        <f t="shared" si="17"/>
        <v>12289.486789194212</v>
      </c>
      <c r="G171" s="19">
        <v>4806.8391081515301</v>
      </c>
      <c r="H171" s="19">
        <f>IF(F171-I171-('Coûts &amp; variables'!$I$134)&lt;=0,0,(F171-I171-('Coûts &amp; variables'!$I$134))*0.25)</f>
        <v>2842.5320113716602</v>
      </c>
      <c r="I171" s="19">
        <f t="shared" si="18"/>
        <v>109.44874370757202</v>
      </c>
      <c r="J171" s="19">
        <f>'Coûts &amp; variables'!D195</f>
        <v>1120.7438265764849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f t="shared" si="19"/>
        <v>3409.9230993869651</v>
      </c>
      <c r="Q171" s="19">
        <f t="shared" si="21"/>
        <v>56544.544489519831</v>
      </c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</row>
    <row r="172" spans="1:35" ht="16" x14ac:dyDescent="0.2">
      <c r="A172" s="19" t="s">
        <v>327</v>
      </c>
      <c r="B172" s="19">
        <f t="shared" ref="B172:C172" si="40">B138</f>
        <v>57560.485522304181</v>
      </c>
      <c r="C172" s="19">
        <f t="shared" si="40"/>
        <v>15273.275189184031</v>
      </c>
      <c r="D172" s="19">
        <f t="shared" si="16"/>
        <v>24421.918000000005</v>
      </c>
      <c r="E172" s="19">
        <f>'Trésorerie mensuelle'!$F$65</f>
        <v>15913.5</v>
      </c>
      <c r="F172" s="19">
        <f t="shared" si="17"/>
        <v>14247.228008320148</v>
      </c>
      <c r="G172" s="19">
        <v>5040.1808124307308</v>
      </c>
      <c r="H172" s="19">
        <f>IF(F172-I172-('Coûts &amp; variables'!$I$134)&lt;=0,0,(F172-I172-('Coûts &amp; variables'!$I$134))*0.25)</f>
        <v>3332.9012693419577</v>
      </c>
      <c r="I172" s="19">
        <f t="shared" si="18"/>
        <v>105.71293095231707</v>
      </c>
      <c r="J172" s="19">
        <f>'Coûts &amp; variables'!D196</f>
        <v>1124.4796393317399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f t="shared" si="19"/>
        <v>4643.9533562634015</v>
      </c>
      <c r="Q172" s="19">
        <f t="shared" si="21"/>
        <v>61188.497845783233</v>
      </c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</row>
    <row r="173" spans="1:35" ht="16" x14ac:dyDescent="0.2">
      <c r="A173" s="19" t="s">
        <v>328</v>
      </c>
      <c r="B173" s="19">
        <f t="shared" ref="B173:C173" si="41">B139</f>
        <v>49565.973644206373</v>
      </c>
      <c r="C173" s="19">
        <f t="shared" si="41"/>
        <v>13151.986968464025</v>
      </c>
      <c r="D173" s="19">
        <f t="shared" si="16"/>
        <v>24421.918000000005</v>
      </c>
      <c r="E173" s="19">
        <f>'Trésorerie mensuelle'!$F$65</f>
        <v>15913.5</v>
      </c>
      <c r="F173" s="19">
        <f t="shared" si="17"/>
        <v>8374.0043509423413</v>
      </c>
      <c r="G173" s="19">
        <v>4340.1556995931287</v>
      </c>
      <c r="H173" s="19">
        <f>IF(F173-I173-('Coûts &amp; variables'!$I$134)&lt;=0,0,(F173-I173-('Coûts &amp; variables'!$I$134))*0.25)</f>
        <v>1865.5324213636159</v>
      </c>
      <c r="I173" s="19">
        <f t="shared" si="18"/>
        <v>101.96466548787794</v>
      </c>
      <c r="J173" s="19">
        <f>'Coûts &amp; variables'!D197</f>
        <v>1128.227904796179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f t="shared" si="19"/>
        <v>938.12365970153974</v>
      </c>
      <c r="Q173" s="19">
        <f t="shared" si="21"/>
        <v>62126.621505484771</v>
      </c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</row>
    <row r="174" spans="1:35" ht="16" x14ac:dyDescent="0.2">
      <c r="A174" s="19" t="s">
        <v>329</v>
      </c>
      <c r="B174" s="19">
        <f t="shared" ref="B174:C174" si="42">B140</f>
        <v>62890.160107702708</v>
      </c>
      <c r="C174" s="19">
        <f t="shared" si="42"/>
        <v>16687.467336330697</v>
      </c>
      <c r="D174" s="19">
        <f>F140</f>
        <v>24421.918000000005</v>
      </c>
      <c r="E174" s="19">
        <f>'Trésorerie mensuelle'!$F$65</f>
        <v>15913.5</v>
      </c>
      <c r="F174" s="19">
        <f t="shared" si="17"/>
        <v>18162.710446572004</v>
      </c>
      <c r="G174" s="19">
        <v>5506.8642209891304</v>
      </c>
      <c r="H174" s="19">
        <f>IF(F174-I174-('Coûts &amp; variables'!$I$134)&lt;=0,0,(F174-I174-('Coûts &amp; variables'!$I$134))*0.25)</f>
        <v>4313.6491351916948</v>
      </c>
      <c r="I174" s="19">
        <f t="shared" si="18"/>
        <v>98.203905805223997</v>
      </c>
      <c r="J174" s="19">
        <f>'Coûts &amp; variables'!D198</f>
        <v>1131.988664478833</v>
      </c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f t="shared" si="19"/>
        <v>7112.0045201071225</v>
      </c>
      <c r="Q174" s="19">
        <f t="shared" si="21"/>
        <v>69238.62602559189</v>
      </c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</row>
    <row r="175" spans="1:35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</row>
    <row r="176" spans="1:35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</row>
    <row r="177" spans="1:35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</row>
    <row r="178" spans="1:35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</row>
    <row r="179" spans="1:35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</row>
    <row r="181" spans="1:35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</row>
    <row r="183" spans="1:35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</row>
    <row r="184" spans="1:35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</row>
    <row r="185" spans="1:35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</row>
    <row r="186" spans="1:35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</row>
    <row r="190" spans="1:35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</row>
    <row r="191" spans="1:35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</row>
    <row r="194" spans="1:35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</row>
    <row r="195" spans="1:35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</row>
    <row r="196" spans="1:35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</row>
    <row r="197" spans="1:35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</row>
    <row r="198" spans="1:35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</row>
    <row r="199" spans="1:35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</row>
    <row r="200" spans="1:35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</row>
    <row r="202" spans="1:35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</row>
    <row r="204" spans="1:35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</row>
    <row r="205" spans="1:35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</row>
    <row r="206" spans="1:35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</row>
    <row r="207" spans="1:35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</row>
    <row r="211" spans="1:35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</row>
    <row r="212" spans="1:35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</row>
    <row r="215" spans="1:35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</row>
    <row r="216" spans="1:35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</row>
    <row r="217" spans="1:35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</row>
    <row r="218" spans="1:35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</row>
    <row r="219" spans="1:35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</row>
    <row r="220" spans="1:35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</row>
    <row r="221" spans="1:35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</row>
    <row r="223" spans="1:35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</row>
    <row r="225" spans="1:35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</row>
    <row r="226" spans="1:35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</row>
    <row r="227" spans="1:35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</row>
    <row r="228" spans="1:35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</row>
    <row r="232" spans="1:35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</row>
    <row r="233" spans="1:35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</row>
    <row r="236" spans="1:35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</row>
    <row r="237" spans="1:35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</row>
    <row r="238" spans="1:35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</row>
    <row r="239" spans="1:35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</row>
    <row r="240" spans="1:35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</row>
    <row r="241" spans="1:35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</row>
    <row r="242" spans="1:35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</row>
    <row r="244" spans="1:35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</row>
    <row r="246" spans="1:35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</row>
    <row r="247" spans="1:35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</row>
    <row r="248" spans="1:35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</row>
    <row r="249" spans="1:35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</row>
    <row r="253" spans="1:35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</row>
    <row r="254" spans="1:35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</row>
    <row r="257" spans="1:35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</row>
    <row r="258" spans="1:35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</row>
    <row r="259" spans="1:35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</row>
    <row r="260" spans="1:35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</row>
    <row r="261" spans="1:35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</row>
    <row r="262" spans="1:35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</row>
    <row r="263" spans="1:35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</row>
    <row r="264" spans="1:35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</row>
    <row r="265" spans="1:35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</row>
    <row r="266" spans="1:35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</row>
    <row r="267" spans="1:35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</row>
    <row r="268" spans="1:35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</row>
    <row r="269" spans="1:35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</row>
    <row r="270" spans="1:35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</row>
    <row r="271" spans="1:35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</row>
    <row r="272" spans="1:35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</row>
    <row r="273" spans="1:35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</row>
    <row r="274" spans="1:35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</row>
    <row r="275" spans="1:35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</row>
    <row r="276" spans="1:35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</row>
    <row r="277" spans="1:35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</row>
    <row r="278" spans="1:35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</row>
    <row r="279" spans="1:35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</row>
    <row r="280" spans="1:35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</row>
    <row r="281" spans="1:35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</row>
    <row r="282" spans="1:35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</row>
    <row r="283" spans="1:35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</row>
    <row r="284" spans="1:35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</row>
    <row r="285" spans="1:35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</row>
    <row r="286" spans="1:35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</row>
    <row r="287" spans="1:35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</row>
    <row r="288" spans="1:35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</row>
    <row r="289" spans="1:35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</row>
    <row r="290" spans="1:35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</row>
    <row r="291" spans="1:35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</row>
    <row r="292" spans="1:35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</row>
    <row r="293" spans="1:35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</row>
    <row r="294" spans="1:35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</row>
    <row r="295" spans="1:35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</row>
    <row r="296" spans="1:35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</row>
    <row r="297" spans="1:35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</row>
    <row r="298" spans="1:35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</row>
    <row r="299" spans="1:35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</row>
    <row r="300" spans="1:35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</row>
    <row r="301" spans="1:35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</row>
    <row r="302" spans="1:35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</row>
    <row r="303" spans="1:35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</row>
    <row r="304" spans="1:35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</row>
    <row r="305" spans="1:35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</row>
    <row r="306" spans="1:35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</row>
    <row r="307" spans="1:35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</row>
    <row r="308" spans="1:35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</row>
    <row r="309" spans="1:35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</row>
    <row r="310" spans="1:35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</row>
    <row r="311" spans="1:35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</row>
    <row r="312" spans="1:35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</row>
    <row r="313" spans="1:35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</row>
    <row r="314" spans="1:35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</row>
    <row r="315" spans="1:35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</row>
    <row r="316" spans="1:35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</row>
    <row r="317" spans="1:35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</row>
    <row r="318" spans="1:35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</row>
    <row r="319" spans="1:35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</row>
    <row r="320" spans="1:35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</row>
    <row r="321" spans="1:35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</row>
    <row r="322" spans="1:35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</row>
    <row r="323" spans="1:35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</row>
    <row r="324" spans="1:35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</row>
    <row r="325" spans="1:35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</row>
    <row r="326" spans="1:35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</row>
    <row r="327" spans="1:35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</row>
    <row r="328" spans="1:35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</row>
    <row r="329" spans="1:35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</row>
    <row r="330" spans="1:35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</row>
    <row r="331" spans="1:35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</row>
    <row r="332" spans="1:35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</row>
    <row r="333" spans="1:35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</row>
    <row r="334" spans="1:35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</row>
    <row r="335" spans="1:35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</row>
    <row r="336" spans="1:35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</row>
    <row r="337" spans="1:35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</row>
    <row r="338" spans="1:35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</row>
    <row r="339" spans="1:35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</row>
    <row r="340" spans="1:35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</row>
    <row r="341" spans="1:35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</row>
    <row r="342" spans="1:35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</row>
    <row r="343" spans="1:35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</row>
    <row r="344" spans="1:35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</row>
    <row r="345" spans="1:35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</row>
    <row r="346" spans="1:35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</row>
    <row r="347" spans="1:35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</row>
    <row r="348" spans="1:35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</row>
    <row r="349" spans="1:35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</row>
    <row r="350" spans="1:35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</row>
    <row r="351" spans="1:35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</row>
    <row r="352" spans="1:35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</row>
    <row r="353" spans="1:35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</row>
    <row r="354" spans="1:35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</row>
    <row r="355" spans="1:35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</row>
    <row r="356" spans="1:35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</row>
    <row r="357" spans="1:35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</row>
    <row r="358" spans="1:35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</row>
    <row r="359" spans="1:35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</row>
    <row r="360" spans="1:35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</row>
    <row r="361" spans="1:35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</row>
    <row r="362" spans="1:35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</row>
    <row r="363" spans="1:35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</row>
    <row r="364" spans="1:35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</row>
    <row r="365" spans="1:35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</row>
    <row r="366" spans="1:35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</row>
    <row r="367" spans="1:35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</row>
    <row r="368" spans="1:35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</row>
    <row r="369" spans="1:35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</row>
    <row r="370" spans="1:35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</row>
    <row r="371" spans="1:35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</row>
    <row r="372" spans="1:35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</row>
    <row r="373" spans="1:35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</row>
    <row r="374" spans="1:35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</row>
    <row r="375" spans="1:35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</row>
    <row r="376" spans="1:35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</row>
    <row r="377" spans="1:35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</row>
    <row r="378" spans="1:35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</row>
    <row r="379" spans="1:35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</row>
    <row r="380" spans="1:35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</row>
    <row r="381" spans="1:35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</row>
    <row r="382" spans="1:35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</row>
    <row r="383" spans="1:35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</row>
    <row r="384" spans="1:35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</row>
    <row r="385" spans="1:35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</row>
    <row r="386" spans="1:35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</row>
    <row r="387" spans="1:35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</row>
    <row r="388" spans="1:35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</row>
    <row r="389" spans="1:35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</row>
    <row r="390" spans="1:35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</row>
    <row r="391" spans="1:35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</row>
  </sheetData>
  <mergeCells count="6">
    <mergeCell ref="A149:Q149"/>
    <mergeCell ref="A3:D3"/>
    <mergeCell ref="A33:B33"/>
    <mergeCell ref="A54:F54"/>
    <mergeCell ref="A85:D85"/>
    <mergeCell ref="A115:M115"/>
  </mergeCells>
  <phoneticPr fontId="1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6A74F-FC7E-2340-BA06-DA1908225C35}">
  <dimension ref="B1:Q86"/>
  <sheetViews>
    <sheetView topLeftCell="F25" zoomScale="125" workbookViewId="0">
      <selection activeCell="K43" sqref="K43:N47"/>
    </sheetView>
  </sheetViews>
  <sheetFormatPr baseColWidth="10" defaultRowHeight="15" x14ac:dyDescent="0.2"/>
  <cols>
    <col min="2" max="2" width="12.6640625" customWidth="1"/>
    <col min="3" max="3" width="14" customWidth="1"/>
    <col min="4" max="4" width="16.6640625" customWidth="1"/>
    <col min="5" max="5" width="19" customWidth="1"/>
    <col min="6" max="6" width="15.5" customWidth="1"/>
    <col min="7" max="7" width="13" customWidth="1"/>
    <col min="8" max="8" width="14.1640625" customWidth="1"/>
  </cols>
  <sheetData>
    <row r="1" spans="2:17" x14ac:dyDescent="0.2">
      <c r="B1" t="s">
        <v>1</v>
      </c>
      <c r="O1" t="b">
        <v>1</v>
      </c>
    </row>
    <row r="2" spans="2:17" x14ac:dyDescent="0.2">
      <c r="B2" s="99" t="s">
        <v>4</v>
      </c>
      <c r="C2" s="99" t="s">
        <v>365</v>
      </c>
      <c r="D2" s="99" t="s">
        <v>366</v>
      </c>
      <c r="E2" s="38" t="s">
        <v>367</v>
      </c>
      <c r="F2" s="38" t="s">
        <v>368</v>
      </c>
      <c r="G2" s="38" t="s">
        <v>369</v>
      </c>
      <c r="H2" s="38" t="s">
        <v>370</v>
      </c>
      <c r="O2" s="5">
        <f>P2*Q2</f>
        <v>0.16000000000000003</v>
      </c>
      <c r="P2" s="5">
        <v>0.2</v>
      </c>
      <c r="Q2" s="5">
        <v>0.8</v>
      </c>
    </row>
    <row r="3" spans="2:17" x14ac:dyDescent="0.2">
      <c r="B3" t="s">
        <v>226</v>
      </c>
      <c r="C3" s="8">
        <v>0.22</v>
      </c>
      <c r="D3" s="8">
        <v>0.35</v>
      </c>
      <c r="E3" s="8">
        <v>0.16000000000000003</v>
      </c>
      <c r="F3" s="8">
        <v>0.2</v>
      </c>
      <c r="G3">
        <v>0.1</v>
      </c>
      <c r="H3">
        <v>0.15</v>
      </c>
      <c r="O3" s="5">
        <f t="shared" ref="O3:O37" si="0">P3*Q3</f>
        <v>0.17120000000000002</v>
      </c>
      <c r="P3" s="5">
        <v>0.214</v>
      </c>
      <c r="Q3" s="5">
        <v>0.8</v>
      </c>
    </row>
    <row r="4" spans="2:17" x14ac:dyDescent="0.2">
      <c r="B4" t="s">
        <v>228</v>
      </c>
      <c r="C4" s="8">
        <v>0.23</v>
      </c>
      <c r="D4" s="8">
        <v>0.36</v>
      </c>
      <c r="E4" s="8">
        <v>0.17120000000000002</v>
      </c>
      <c r="F4" s="8">
        <v>0.214</v>
      </c>
      <c r="G4">
        <v>0.11</v>
      </c>
      <c r="H4">
        <v>0.16</v>
      </c>
      <c r="O4" s="5">
        <f t="shared" si="0"/>
        <v>0.18320000000000003</v>
      </c>
      <c r="P4" s="5">
        <v>0.22900000000000001</v>
      </c>
      <c r="Q4" s="5">
        <v>0.8</v>
      </c>
    </row>
    <row r="5" spans="2:17" x14ac:dyDescent="0.2">
      <c r="B5" t="s">
        <v>229</v>
      </c>
      <c r="C5" s="8">
        <v>0.25</v>
      </c>
      <c r="D5" s="8">
        <v>0.38</v>
      </c>
      <c r="E5" s="8">
        <v>0.18320000000000003</v>
      </c>
      <c r="F5" s="8">
        <v>0.22900000000000001</v>
      </c>
      <c r="G5">
        <v>0.12</v>
      </c>
      <c r="H5">
        <v>0.17</v>
      </c>
      <c r="O5" s="5">
        <f t="shared" si="0"/>
        <v>0.19440000000000002</v>
      </c>
      <c r="P5" s="5">
        <v>0.24299999999999999</v>
      </c>
      <c r="Q5" s="5">
        <v>0.8</v>
      </c>
    </row>
    <row r="6" spans="2:17" x14ac:dyDescent="0.2">
      <c r="B6" t="s">
        <v>230</v>
      </c>
      <c r="C6" s="8">
        <v>0.26</v>
      </c>
      <c r="D6" s="8">
        <v>0.39</v>
      </c>
      <c r="E6" s="8">
        <v>0.19440000000000002</v>
      </c>
      <c r="F6" s="8">
        <v>0.24299999999999999</v>
      </c>
      <c r="G6">
        <v>0.13</v>
      </c>
      <c r="H6">
        <v>0.18</v>
      </c>
      <c r="O6" s="5">
        <f t="shared" si="0"/>
        <v>0.2056</v>
      </c>
      <c r="P6" s="5">
        <v>0.25700000000000001</v>
      </c>
      <c r="Q6" s="5">
        <v>0.8</v>
      </c>
    </row>
    <row r="7" spans="2:17" x14ac:dyDescent="0.2">
      <c r="B7" t="s">
        <v>231</v>
      </c>
      <c r="C7" s="8">
        <v>0.27</v>
      </c>
      <c r="D7" s="8">
        <v>0.41</v>
      </c>
      <c r="E7" s="8">
        <v>0.2056</v>
      </c>
      <c r="F7" s="8">
        <v>0.25700000000000001</v>
      </c>
      <c r="G7">
        <v>0.14000000000000001</v>
      </c>
      <c r="H7">
        <v>0.2</v>
      </c>
      <c r="O7" s="5">
        <f t="shared" si="0"/>
        <v>0.21680000000000002</v>
      </c>
      <c r="P7" s="5">
        <v>0.27100000000000002</v>
      </c>
      <c r="Q7" s="5">
        <v>0.8</v>
      </c>
    </row>
    <row r="8" spans="2:17" x14ac:dyDescent="0.2">
      <c r="B8" t="s">
        <v>232</v>
      </c>
      <c r="C8" s="8">
        <v>0.28999999999999998</v>
      </c>
      <c r="D8" s="8">
        <v>0.42</v>
      </c>
      <c r="E8" s="8">
        <v>0.21680000000000002</v>
      </c>
      <c r="F8" s="8">
        <v>0.27100000000000002</v>
      </c>
      <c r="G8">
        <v>0.15</v>
      </c>
      <c r="H8">
        <v>0.21</v>
      </c>
      <c r="O8" s="5">
        <f t="shared" si="0"/>
        <v>0.2288</v>
      </c>
      <c r="P8" s="5">
        <v>0.28599999999999998</v>
      </c>
      <c r="Q8" s="5">
        <v>0.8</v>
      </c>
    </row>
    <row r="9" spans="2:17" x14ac:dyDescent="0.2">
      <c r="B9" t="s">
        <v>233</v>
      </c>
      <c r="C9" s="8">
        <v>0.3</v>
      </c>
      <c r="D9" s="8">
        <v>0.44</v>
      </c>
      <c r="E9" s="8">
        <v>0.2288</v>
      </c>
      <c r="F9" s="8">
        <v>0.28599999999999998</v>
      </c>
      <c r="G9">
        <v>0.16</v>
      </c>
      <c r="H9">
        <v>0.22</v>
      </c>
      <c r="O9" s="5">
        <f t="shared" si="0"/>
        <v>0.24</v>
      </c>
      <c r="P9" s="5">
        <v>0.3</v>
      </c>
      <c r="Q9" s="5">
        <v>0.8</v>
      </c>
    </row>
    <row r="10" spans="2:17" x14ac:dyDescent="0.2">
      <c r="B10" t="s">
        <v>234</v>
      </c>
      <c r="C10" s="8">
        <v>0.31</v>
      </c>
      <c r="D10" s="8">
        <v>0.45</v>
      </c>
      <c r="E10" s="8">
        <v>0.24</v>
      </c>
      <c r="F10" s="8">
        <v>0.3</v>
      </c>
      <c r="G10">
        <v>0.17</v>
      </c>
      <c r="H10">
        <v>0.23</v>
      </c>
      <c r="O10" s="5">
        <f t="shared" si="0"/>
        <v>0.25120000000000003</v>
      </c>
      <c r="P10" s="5">
        <v>0.314</v>
      </c>
      <c r="Q10" s="5">
        <v>0.8</v>
      </c>
    </row>
    <row r="11" spans="2:17" x14ac:dyDescent="0.2">
      <c r="B11" t="s">
        <v>235</v>
      </c>
      <c r="C11" s="8">
        <v>0.33</v>
      </c>
      <c r="D11" s="8">
        <v>0.47</v>
      </c>
      <c r="E11" s="8">
        <v>0.25120000000000003</v>
      </c>
      <c r="F11" s="8">
        <v>0.314</v>
      </c>
      <c r="G11">
        <v>0.18</v>
      </c>
      <c r="H11">
        <v>0.24</v>
      </c>
      <c r="O11" s="5">
        <f t="shared" si="0"/>
        <v>0.26320000000000005</v>
      </c>
      <c r="P11" s="5">
        <v>0.32900000000000001</v>
      </c>
      <c r="Q11" s="5">
        <v>0.8</v>
      </c>
    </row>
    <row r="12" spans="2:17" x14ac:dyDescent="0.2">
      <c r="B12" t="s">
        <v>236</v>
      </c>
      <c r="C12" s="8">
        <v>0.34</v>
      </c>
      <c r="D12" s="8">
        <v>0.48</v>
      </c>
      <c r="E12" s="8">
        <v>0.26320000000000005</v>
      </c>
      <c r="F12" s="8">
        <v>0.32900000000000001</v>
      </c>
      <c r="G12">
        <v>0.19</v>
      </c>
      <c r="H12">
        <v>0.25</v>
      </c>
      <c r="O12" s="5">
        <f t="shared" si="0"/>
        <v>0.27440000000000003</v>
      </c>
      <c r="P12" s="5">
        <v>0.34300000000000003</v>
      </c>
      <c r="Q12" s="5">
        <v>0.8</v>
      </c>
    </row>
    <row r="13" spans="2:17" x14ac:dyDescent="0.2">
      <c r="B13" t="s">
        <v>237</v>
      </c>
      <c r="C13" s="8">
        <v>0.35</v>
      </c>
      <c r="D13" s="8">
        <v>0.49</v>
      </c>
      <c r="E13" s="8">
        <v>0.27440000000000003</v>
      </c>
      <c r="F13" s="8">
        <v>0.34300000000000003</v>
      </c>
      <c r="G13">
        <v>0.2</v>
      </c>
      <c r="H13">
        <v>0.26</v>
      </c>
      <c r="O13" s="5">
        <f t="shared" si="0"/>
        <v>0.28560000000000002</v>
      </c>
      <c r="P13" s="5">
        <v>0.35699999999999998</v>
      </c>
      <c r="Q13" s="5">
        <v>0.8</v>
      </c>
    </row>
    <row r="14" spans="2:17" x14ac:dyDescent="0.2">
      <c r="B14" t="s">
        <v>238</v>
      </c>
      <c r="C14" s="8">
        <v>0.37</v>
      </c>
      <c r="D14" s="8">
        <v>0.51</v>
      </c>
      <c r="E14" s="8">
        <v>0.28560000000000002</v>
      </c>
      <c r="F14" s="8">
        <v>0.35699999999999998</v>
      </c>
      <c r="G14">
        <v>0.21</v>
      </c>
      <c r="H14">
        <v>0.28000000000000003</v>
      </c>
      <c r="O14" s="5">
        <f t="shared" si="0"/>
        <v>0.30792999999999998</v>
      </c>
      <c r="P14" s="5">
        <v>0.371</v>
      </c>
      <c r="Q14" s="5">
        <v>0.83</v>
      </c>
    </row>
    <row r="15" spans="2:17" x14ac:dyDescent="0.2">
      <c r="B15" t="s">
        <v>239</v>
      </c>
      <c r="C15" s="8">
        <v>0.38</v>
      </c>
      <c r="D15" s="8">
        <v>0.52</v>
      </c>
      <c r="E15" s="8">
        <v>0.30792999999999998</v>
      </c>
      <c r="F15" s="8">
        <v>0.371</v>
      </c>
      <c r="G15">
        <v>0.22</v>
      </c>
      <c r="H15">
        <v>0.28999999999999998</v>
      </c>
      <c r="O15" s="5">
        <f t="shared" si="0"/>
        <v>0.32038</v>
      </c>
      <c r="P15" s="5">
        <v>0.38600000000000001</v>
      </c>
      <c r="Q15" s="5">
        <v>0.83</v>
      </c>
    </row>
    <row r="16" spans="2:17" x14ac:dyDescent="0.2">
      <c r="B16" t="s">
        <v>240</v>
      </c>
      <c r="C16" s="8">
        <v>0.39</v>
      </c>
      <c r="D16" s="8">
        <v>0.54</v>
      </c>
      <c r="E16" s="8">
        <v>0.32038</v>
      </c>
      <c r="F16" s="8">
        <v>0.38600000000000001</v>
      </c>
      <c r="G16">
        <v>0.23</v>
      </c>
      <c r="H16">
        <v>0.3</v>
      </c>
      <c r="O16" s="5">
        <f t="shared" si="0"/>
        <v>0.33200000000000002</v>
      </c>
      <c r="P16" s="5">
        <v>0.4</v>
      </c>
      <c r="Q16" s="5">
        <v>0.83</v>
      </c>
    </row>
    <row r="17" spans="2:17" x14ac:dyDescent="0.2">
      <c r="B17" t="s">
        <v>241</v>
      </c>
      <c r="C17" s="8">
        <v>0.41</v>
      </c>
      <c r="D17" s="8">
        <v>0.55000000000000004</v>
      </c>
      <c r="E17" s="8">
        <v>0.33200000000000002</v>
      </c>
      <c r="F17" s="8">
        <v>0.4</v>
      </c>
      <c r="G17">
        <v>0.24</v>
      </c>
      <c r="H17">
        <v>0.31</v>
      </c>
      <c r="O17" s="5">
        <f t="shared" si="0"/>
        <v>0.34361999999999998</v>
      </c>
      <c r="P17" s="5">
        <v>0.41399999999999998</v>
      </c>
      <c r="Q17" s="5">
        <v>0.83</v>
      </c>
    </row>
    <row r="18" spans="2:17" x14ac:dyDescent="0.2">
      <c r="B18" t="s">
        <v>242</v>
      </c>
      <c r="C18" s="8">
        <v>0.42</v>
      </c>
      <c r="D18" s="8">
        <v>0.56999999999999995</v>
      </c>
      <c r="E18" s="8">
        <v>0.34361999999999998</v>
      </c>
      <c r="F18" s="8">
        <v>0.41399999999999998</v>
      </c>
      <c r="G18">
        <v>0.25</v>
      </c>
      <c r="H18">
        <v>0.32</v>
      </c>
      <c r="O18" s="5">
        <f t="shared" si="0"/>
        <v>0.35607</v>
      </c>
      <c r="P18" s="5">
        <v>0.42899999999999999</v>
      </c>
      <c r="Q18" s="5">
        <v>0.83</v>
      </c>
    </row>
    <row r="19" spans="2:17" x14ac:dyDescent="0.2">
      <c r="B19" t="s">
        <v>243</v>
      </c>
      <c r="C19" s="8">
        <v>0.43</v>
      </c>
      <c r="D19" s="8">
        <v>0.57999999999999996</v>
      </c>
      <c r="E19" s="8">
        <v>0.35607</v>
      </c>
      <c r="F19" s="8">
        <v>0.42899999999999999</v>
      </c>
      <c r="G19">
        <v>0.26</v>
      </c>
      <c r="H19">
        <v>0.33</v>
      </c>
      <c r="O19" s="5">
        <f t="shared" si="0"/>
        <v>0.36768999999999996</v>
      </c>
      <c r="P19" s="5">
        <v>0.443</v>
      </c>
      <c r="Q19" s="5">
        <v>0.83</v>
      </c>
    </row>
    <row r="20" spans="2:17" x14ac:dyDescent="0.2">
      <c r="B20" t="s">
        <v>244</v>
      </c>
      <c r="C20" s="8">
        <v>0.45</v>
      </c>
      <c r="D20" s="8">
        <v>0.6</v>
      </c>
      <c r="E20" s="8">
        <v>0.36768999999999996</v>
      </c>
      <c r="F20" s="8">
        <v>0.443</v>
      </c>
      <c r="G20">
        <v>0.27</v>
      </c>
      <c r="H20">
        <v>0.34</v>
      </c>
      <c r="O20" s="5">
        <f t="shared" si="0"/>
        <v>0.37930999999999998</v>
      </c>
      <c r="P20" s="5">
        <v>0.45700000000000002</v>
      </c>
      <c r="Q20" s="5">
        <v>0.83</v>
      </c>
    </row>
    <row r="21" spans="2:17" x14ac:dyDescent="0.2">
      <c r="B21" t="s">
        <v>245</v>
      </c>
      <c r="C21" s="8">
        <v>0.46</v>
      </c>
      <c r="D21" s="8">
        <v>0.61</v>
      </c>
      <c r="E21" s="8">
        <v>0.37930999999999998</v>
      </c>
      <c r="F21" s="8">
        <v>0.45700000000000002</v>
      </c>
      <c r="G21">
        <v>0.28000000000000003</v>
      </c>
      <c r="H21">
        <v>0.36</v>
      </c>
      <c r="O21" s="5">
        <f t="shared" si="0"/>
        <v>0.39092999999999994</v>
      </c>
      <c r="P21" s="5">
        <v>0.47099999999999997</v>
      </c>
      <c r="Q21" s="5">
        <v>0.83</v>
      </c>
    </row>
    <row r="22" spans="2:17" x14ac:dyDescent="0.2">
      <c r="B22" t="s">
        <v>246</v>
      </c>
      <c r="C22" s="8">
        <v>0.47</v>
      </c>
      <c r="D22" s="8">
        <v>0.62</v>
      </c>
      <c r="E22" s="8">
        <v>0.39092999999999994</v>
      </c>
      <c r="F22" s="8">
        <v>0.47099999999999997</v>
      </c>
      <c r="G22">
        <v>0.28999999999999998</v>
      </c>
      <c r="H22">
        <v>0.37</v>
      </c>
      <c r="O22" s="5">
        <f t="shared" si="0"/>
        <v>0.40337999999999996</v>
      </c>
      <c r="P22" s="5">
        <v>0.48599999999999999</v>
      </c>
      <c r="Q22" s="5">
        <v>0.83</v>
      </c>
    </row>
    <row r="23" spans="2:17" x14ac:dyDescent="0.2">
      <c r="B23" t="s">
        <v>247</v>
      </c>
      <c r="C23" s="8">
        <v>0.49</v>
      </c>
      <c r="D23" s="8">
        <v>0.64</v>
      </c>
      <c r="E23" s="8">
        <v>0.40337999999999996</v>
      </c>
      <c r="F23" s="8">
        <v>0.48599999999999999</v>
      </c>
      <c r="G23">
        <v>0.3</v>
      </c>
      <c r="H23">
        <v>0.38</v>
      </c>
      <c r="O23" s="5">
        <f t="shared" si="0"/>
        <v>0.41499999999999998</v>
      </c>
      <c r="P23" s="5">
        <v>0.5</v>
      </c>
      <c r="Q23" s="5">
        <v>0.83</v>
      </c>
    </row>
    <row r="24" spans="2:17" x14ac:dyDescent="0.2">
      <c r="B24" t="s">
        <v>248</v>
      </c>
      <c r="C24" s="8">
        <v>0.5</v>
      </c>
      <c r="D24" s="8">
        <v>0.65</v>
      </c>
      <c r="E24" s="8">
        <v>0.41499999999999998</v>
      </c>
      <c r="F24" s="8">
        <v>0.5</v>
      </c>
      <c r="G24">
        <v>0.31</v>
      </c>
      <c r="H24">
        <v>0.39</v>
      </c>
      <c r="O24" s="5">
        <f t="shared" si="0"/>
        <v>0.42662</v>
      </c>
      <c r="P24" s="5">
        <v>0.51400000000000001</v>
      </c>
      <c r="Q24" s="5">
        <v>0.83</v>
      </c>
    </row>
    <row r="25" spans="2:17" x14ac:dyDescent="0.2">
      <c r="B25" t="s">
        <v>249</v>
      </c>
      <c r="C25" s="8">
        <v>0.52</v>
      </c>
      <c r="D25" s="8">
        <v>0.67</v>
      </c>
      <c r="E25" s="8">
        <v>0.42662</v>
      </c>
      <c r="F25" s="8">
        <v>0.51400000000000001</v>
      </c>
      <c r="G25">
        <v>0.32</v>
      </c>
      <c r="H25">
        <v>0.4</v>
      </c>
      <c r="O25" s="5">
        <f t="shared" si="0"/>
        <v>0.43907000000000002</v>
      </c>
      <c r="P25" s="5">
        <v>0.52900000000000003</v>
      </c>
      <c r="Q25" s="5">
        <v>0.83</v>
      </c>
    </row>
    <row r="26" spans="2:17" x14ac:dyDescent="0.2">
      <c r="B26" t="s">
        <v>250</v>
      </c>
      <c r="C26" s="8">
        <v>0.53</v>
      </c>
      <c r="D26" s="8">
        <v>0.68</v>
      </c>
      <c r="E26" s="8">
        <v>0.43907000000000002</v>
      </c>
      <c r="F26" s="8">
        <v>0.52900000000000003</v>
      </c>
      <c r="G26">
        <v>0.33</v>
      </c>
      <c r="H26">
        <v>0.41</v>
      </c>
      <c r="O26" s="5">
        <f t="shared" si="0"/>
        <v>0.47241000000000005</v>
      </c>
      <c r="P26" s="5">
        <v>0.54300000000000004</v>
      </c>
      <c r="Q26" s="5">
        <v>0.87</v>
      </c>
    </row>
    <row r="27" spans="2:17" x14ac:dyDescent="0.2">
      <c r="B27" t="s">
        <v>251</v>
      </c>
      <c r="C27" s="8">
        <v>0.54</v>
      </c>
      <c r="D27" s="8">
        <v>0.7</v>
      </c>
      <c r="E27" s="8">
        <v>0.47241000000000005</v>
      </c>
      <c r="F27" s="8">
        <v>0.54300000000000004</v>
      </c>
      <c r="G27">
        <v>0.34</v>
      </c>
      <c r="H27">
        <v>0.42</v>
      </c>
      <c r="O27" s="5">
        <f t="shared" si="0"/>
        <v>0.48459000000000002</v>
      </c>
      <c r="P27" s="5">
        <v>0.55700000000000005</v>
      </c>
      <c r="Q27" s="5">
        <v>0.87</v>
      </c>
    </row>
    <row r="28" spans="2:17" x14ac:dyDescent="0.2">
      <c r="B28" t="s">
        <v>252</v>
      </c>
      <c r="C28" s="8">
        <v>0.56000000000000005</v>
      </c>
      <c r="D28" s="8">
        <v>0.71</v>
      </c>
      <c r="E28" s="8">
        <v>0.48459000000000002</v>
      </c>
      <c r="F28" s="8">
        <v>0.55700000000000005</v>
      </c>
      <c r="G28">
        <v>0.35</v>
      </c>
      <c r="H28">
        <v>0.44</v>
      </c>
      <c r="O28" s="5">
        <f t="shared" si="0"/>
        <v>0.49676999999999993</v>
      </c>
      <c r="P28" s="5">
        <v>0.57099999999999995</v>
      </c>
      <c r="Q28" s="5">
        <v>0.87</v>
      </c>
    </row>
    <row r="29" spans="2:17" x14ac:dyDescent="0.2">
      <c r="B29" t="s">
        <v>253</v>
      </c>
      <c r="C29" s="8">
        <v>0.56999999999999995</v>
      </c>
      <c r="D29" s="8">
        <v>0.73</v>
      </c>
      <c r="E29" s="8">
        <v>0.49676999999999993</v>
      </c>
      <c r="F29" s="8">
        <v>0.57099999999999995</v>
      </c>
      <c r="G29">
        <v>0.36</v>
      </c>
      <c r="H29">
        <v>0.45</v>
      </c>
      <c r="O29" s="5">
        <f t="shared" si="0"/>
        <v>0.50981999999999994</v>
      </c>
      <c r="P29" s="5">
        <v>0.58599999999999997</v>
      </c>
      <c r="Q29" s="5">
        <v>0.87</v>
      </c>
    </row>
    <row r="30" spans="2:17" x14ac:dyDescent="0.2">
      <c r="B30" t="s">
        <v>254</v>
      </c>
      <c r="C30" s="8">
        <v>0.57999999999999996</v>
      </c>
      <c r="D30" s="8">
        <v>0.74</v>
      </c>
      <c r="E30" s="8">
        <v>0.50981999999999994</v>
      </c>
      <c r="F30" s="8">
        <v>0.58599999999999997</v>
      </c>
      <c r="G30">
        <v>0.37</v>
      </c>
      <c r="H30">
        <v>0.46</v>
      </c>
      <c r="O30" s="5">
        <f t="shared" si="0"/>
        <v>0.52200000000000002</v>
      </c>
      <c r="P30" s="5">
        <v>0.6</v>
      </c>
      <c r="Q30" s="5">
        <v>0.87</v>
      </c>
    </row>
    <row r="31" spans="2:17" x14ac:dyDescent="0.2">
      <c r="B31" t="s">
        <v>255</v>
      </c>
      <c r="C31" s="8">
        <v>0.6</v>
      </c>
      <c r="D31" s="8">
        <v>0.76</v>
      </c>
      <c r="E31" s="8">
        <v>0.52200000000000002</v>
      </c>
      <c r="F31" s="8">
        <v>0.6</v>
      </c>
      <c r="G31">
        <v>0.38</v>
      </c>
      <c r="H31">
        <v>0.47</v>
      </c>
      <c r="O31" s="5">
        <f t="shared" si="0"/>
        <v>0.53417999999999999</v>
      </c>
      <c r="P31" s="5">
        <v>0.61399999999999999</v>
      </c>
      <c r="Q31" s="5">
        <v>0.87</v>
      </c>
    </row>
    <row r="32" spans="2:17" x14ac:dyDescent="0.2">
      <c r="B32" t="s">
        <v>256</v>
      </c>
      <c r="C32" s="8">
        <v>0.61</v>
      </c>
      <c r="D32" s="8">
        <v>0.77</v>
      </c>
      <c r="E32" s="8">
        <v>0.53417999999999999</v>
      </c>
      <c r="F32" s="8">
        <v>0.61399999999999999</v>
      </c>
      <c r="G32">
        <v>0.39</v>
      </c>
      <c r="H32">
        <v>0.48</v>
      </c>
      <c r="O32" s="5">
        <f t="shared" si="0"/>
        <v>0.54722999999999999</v>
      </c>
      <c r="P32" s="5">
        <v>0.629</v>
      </c>
      <c r="Q32" s="5">
        <v>0.87</v>
      </c>
    </row>
    <row r="33" spans="2:17" x14ac:dyDescent="0.2">
      <c r="B33" t="s">
        <v>257</v>
      </c>
      <c r="C33" s="8">
        <v>0.62</v>
      </c>
      <c r="D33" s="8">
        <v>0.78</v>
      </c>
      <c r="E33" s="8">
        <v>0.54722999999999999</v>
      </c>
      <c r="F33" s="8">
        <v>0.629</v>
      </c>
      <c r="G33">
        <v>0.4</v>
      </c>
      <c r="H33">
        <v>0.49</v>
      </c>
      <c r="O33" s="5">
        <f t="shared" si="0"/>
        <v>0.55940999999999996</v>
      </c>
      <c r="P33" s="5">
        <v>0.64300000000000002</v>
      </c>
      <c r="Q33" s="5">
        <v>0.87</v>
      </c>
    </row>
    <row r="34" spans="2:17" x14ac:dyDescent="0.2">
      <c r="B34" t="s">
        <v>258</v>
      </c>
      <c r="C34" s="8">
        <v>0.64</v>
      </c>
      <c r="D34" s="8">
        <v>0.8</v>
      </c>
      <c r="E34" s="8">
        <v>0.55940999999999996</v>
      </c>
      <c r="F34" s="8">
        <v>0.64300000000000002</v>
      </c>
      <c r="G34">
        <v>0.41</v>
      </c>
      <c r="H34">
        <v>0.5</v>
      </c>
      <c r="O34" s="5">
        <f t="shared" si="0"/>
        <v>0.57159000000000004</v>
      </c>
      <c r="P34" s="5">
        <v>0.65700000000000003</v>
      </c>
      <c r="Q34" s="5">
        <v>0.87</v>
      </c>
    </row>
    <row r="35" spans="2:17" x14ac:dyDescent="0.2">
      <c r="B35" t="s">
        <v>259</v>
      </c>
      <c r="C35" s="8">
        <v>0.65</v>
      </c>
      <c r="D35" s="8">
        <v>0.81</v>
      </c>
      <c r="E35" s="8">
        <v>0.57159000000000004</v>
      </c>
      <c r="F35" s="8">
        <v>0.65700000000000003</v>
      </c>
      <c r="G35">
        <v>0.42</v>
      </c>
      <c r="H35">
        <v>0.52</v>
      </c>
      <c r="O35" s="5">
        <f t="shared" si="0"/>
        <v>0.58377000000000001</v>
      </c>
      <c r="P35" s="5">
        <v>0.67100000000000004</v>
      </c>
      <c r="Q35" s="5">
        <v>0.87</v>
      </c>
    </row>
    <row r="36" spans="2:17" x14ac:dyDescent="0.2">
      <c r="B36" t="s">
        <v>260</v>
      </c>
      <c r="C36" s="8">
        <v>0.66</v>
      </c>
      <c r="D36" s="8">
        <v>0.83</v>
      </c>
      <c r="E36" s="8">
        <v>0.58377000000000001</v>
      </c>
      <c r="F36" s="8">
        <v>0.67100000000000004</v>
      </c>
      <c r="G36">
        <v>0.43</v>
      </c>
      <c r="H36">
        <v>0.53</v>
      </c>
      <c r="O36" s="5">
        <f t="shared" si="0"/>
        <v>0.59682000000000002</v>
      </c>
      <c r="P36" s="5">
        <v>0.68600000000000005</v>
      </c>
      <c r="Q36" s="5">
        <v>0.87</v>
      </c>
    </row>
    <row r="37" spans="2:17" x14ac:dyDescent="0.2">
      <c r="B37" t="s">
        <v>261</v>
      </c>
      <c r="C37" s="8">
        <v>0.68</v>
      </c>
      <c r="D37" s="8">
        <v>0.84</v>
      </c>
      <c r="E37" s="8">
        <v>0.59682000000000002</v>
      </c>
      <c r="F37" s="8">
        <v>0.68600000000000005</v>
      </c>
      <c r="G37">
        <v>0.44</v>
      </c>
      <c r="H37">
        <v>0.54</v>
      </c>
      <c r="O37" s="5">
        <f t="shared" si="0"/>
        <v>0.60899999999999999</v>
      </c>
      <c r="P37" s="5">
        <v>0.7</v>
      </c>
      <c r="Q37" s="5">
        <v>0.87</v>
      </c>
    </row>
    <row r="38" spans="2:17" x14ac:dyDescent="0.2">
      <c r="B38" t="s">
        <v>227</v>
      </c>
      <c r="C38" s="8">
        <v>0.7</v>
      </c>
      <c r="D38" s="8">
        <v>0.85</v>
      </c>
      <c r="E38" s="8">
        <v>0.60899999999999999</v>
      </c>
      <c r="F38" s="8">
        <v>0.7</v>
      </c>
      <c r="G38">
        <v>0.45</v>
      </c>
      <c r="H38">
        <v>0.55000000000000004</v>
      </c>
    </row>
    <row r="43" spans="2:17" x14ac:dyDescent="0.2">
      <c r="K43" s="159"/>
      <c r="L43" s="159"/>
      <c r="M43" s="159"/>
      <c r="N43" s="159"/>
    </row>
    <row r="44" spans="2:17" x14ac:dyDescent="0.2">
      <c r="B44" s="115" t="s">
        <v>380</v>
      </c>
      <c r="K44" s="163"/>
      <c r="L44" s="163"/>
      <c r="M44" s="163"/>
      <c r="N44" s="159"/>
    </row>
    <row r="45" spans="2:17" x14ac:dyDescent="0.2">
      <c r="K45" s="163"/>
      <c r="L45" s="163"/>
      <c r="M45" s="163"/>
      <c r="N45" s="159"/>
    </row>
    <row r="46" spans="2:17" x14ac:dyDescent="0.2">
      <c r="B46" s="118" t="s">
        <v>377</v>
      </c>
      <c r="C46" s="119"/>
      <c r="D46" s="119"/>
      <c r="E46" s="119"/>
      <c r="F46" s="119"/>
      <c r="G46" s="120"/>
      <c r="K46" s="163"/>
      <c r="L46" s="163"/>
      <c r="M46" s="163"/>
      <c r="N46" s="159"/>
    </row>
    <row r="47" spans="2:17" s="117" customFormat="1" ht="27" customHeight="1" x14ac:dyDescent="0.2">
      <c r="B47" s="121" t="s">
        <v>127</v>
      </c>
      <c r="C47" s="121" t="s">
        <v>374</v>
      </c>
      <c r="D47" s="121" t="s">
        <v>375</v>
      </c>
      <c r="E47" s="121" t="s">
        <v>376</v>
      </c>
      <c r="F47" s="121" t="s">
        <v>213</v>
      </c>
      <c r="G47" s="122"/>
      <c r="K47" s="162"/>
      <c r="L47" s="162"/>
      <c r="M47" s="162"/>
      <c r="N47" s="161"/>
    </row>
    <row r="48" spans="2:17" x14ac:dyDescent="0.2">
      <c r="B48" s="123" t="s">
        <v>371</v>
      </c>
      <c r="C48" s="123">
        <v>328792.94829169329</v>
      </c>
      <c r="D48" s="123">
        <v>31749.255195188118</v>
      </c>
      <c r="E48" s="123">
        <v>7.9870969231911657E-2</v>
      </c>
      <c r="F48" s="123">
        <v>142541.78347779138</v>
      </c>
      <c r="G48" s="120"/>
    </row>
    <row r="49" spans="2:15" x14ac:dyDescent="0.2">
      <c r="B49" s="123" t="s">
        <v>372</v>
      </c>
      <c r="C49" s="123">
        <v>537345.91440000001</v>
      </c>
      <c r="D49" s="123">
        <v>43552.599028659235</v>
      </c>
      <c r="E49" s="123">
        <v>7.6974576671905034E-2</v>
      </c>
      <c r="F49" s="123">
        <v>140943.00492392865</v>
      </c>
      <c r="G49" s="120"/>
    </row>
    <row r="50" spans="2:15" x14ac:dyDescent="0.2">
      <c r="B50" s="123" t="s">
        <v>373</v>
      </c>
      <c r="C50" s="123">
        <v>701664.18120000011</v>
      </c>
      <c r="D50" s="123">
        <v>102705.66190512222</v>
      </c>
      <c r="E50" s="123">
        <v>0.14838682269225792</v>
      </c>
      <c r="F50" s="123">
        <v>185204.90668873067</v>
      </c>
      <c r="G50" s="120"/>
    </row>
    <row r="51" spans="2:15" x14ac:dyDescent="0.2">
      <c r="B51" s="119"/>
      <c r="C51" s="119"/>
      <c r="D51" s="119"/>
      <c r="E51" s="119"/>
      <c r="F51" s="119"/>
      <c r="G51" s="120"/>
    </row>
    <row r="52" spans="2:15" x14ac:dyDescent="0.2">
      <c r="B52" s="119"/>
      <c r="C52" s="119"/>
      <c r="D52" s="119"/>
      <c r="E52" s="119"/>
      <c r="F52" s="119"/>
      <c r="G52" s="120"/>
      <c r="I52" s="159"/>
      <c r="J52" s="159"/>
      <c r="K52" s="159"/>
      <c r="L52" s="159"/>
      <c r="M52" s="159"/>
      <c r="N52" s="159"/>
      <c r="O52" s="159"/>
    </row>
    <row r="53" spans="2:15" x14ac:dyDescent="0.2">
      <c r="B53" s="118" t="s">
        <v>378</v>
      </c>
      <c r="C53" s="119"/>
      <c r="D53" s="119"/>
      <c r="E53" s="119"/>
      <c r="F53" s="119"/>
      <c r="G53" s="120"/>
      <c r="I53" s="159"/>
      <c r="J53" s="159"/>
      <c r="K53" s="159"/>
      <c r="L53" s="159"/>
      <c r="M53" s="159"/>
      <c r="N53" s="159"/>
      <c r="O53" s="159"/>
    </row>
    <row r="54" spans="2:15" s="117" customFormat="1" ht="27" customHeight="1" x14ac:dyDescent="0.2">
      <c r="B54" s="121" t="s">
        <v>127</v>
      </c>
      <c r="C54" s="121" t="s">
        <v>374</v>
      </c>
      <c r="D54" s="121" t="s">
        <v>375</v>
      </c>
      <c r="E54" s="121" t="s">
        <v>376</v>
      </c>
      <c r="F54" s="121" t="s">
        <v>213</v>
      </c>
      <c r="G54" s="122"/>
      <c r="I54" s="161"/>
      <c r="J54" s="161"/>
      <c r="K54" s="162"/>
      <c r="L54" s="162"/>
      <c r="M54" s="162"/>
      <c r="N54" s="161"/>
      <c r="O54" s="161"/>
    </row>
    <row r="55" spans="2:15" x14ac:dyDescent="0.2">
      <c r="B55" s="123" t="s">
        <v>371</v>
      </c>
      <c r="C55" s="123">
        <v>222096.44057194982</v>
      </c>
      <c r="D55" s="123">
        <v>-31213.481653448463</v>
      </c>
      <c r="E55" s="123">
        <v>-0.18594353990824997</v>
      </c>
      <c r="F55" s="123">
        <v>90084.531117631326</v>
      </c>
      <c r="G55" s="120"/>
      <c r="I55" s="159"/>
      <c r="J55" s="159"/>
      <c r="K55" s="159"/>
      <c r="L55" s="159"/>
      <c r="M55" s="159"/>
      <c r="N55" s="159"/>
      <c r="O55" s="159"/>
    </row>
    <row r="56" spans="2:15" x14ac:dyDescent="0.2">
      <c r="B56" s="123" t="s">
        <v>372</v>
      </c>
      <c r="C56" s="123">
        <v>411629.76057599997</v>
      </c>
      <c r="D56" s="123">
        <v>-24457.214596827951</v>
      </c>
      <c r="E56" s="123">
        <v>-8.9213926154092793E-2</v>
      </c>
      <c r="F56" s="123">
        <v>30654.084737978636</v>
      </c>
      <c r="G56" s="120"/>
      <c r="I56" s="159"/>
      <c r="J56" s="159"/>
      <c r="K56" s="159"/>
      <c r="L56" s="159"/>
      <c r="M56" s="159"/>
      <c r="N56" s="159"/>
      <c r="O56" s="159"/>
    </row>
    <row r="57" spans="2:15" x14ac:dyDescent="0.2">
      <c r="B57" s="123" t="s">
        <v>373</v>
      </c>
      <c r="C57" s="123">
        <v>575264.75140800001</v>
      </c>
      <c r="D57" s="123">
        <v>36721.774612342873</v>
      </c>
      <c r="E57" s="123">
        <v>5.5874474881658753E-2</v>
      </c>
      <c r="F57" s="123">
        <v>18982.356074831558</v>
      </c>
      <c r="G57" s="120"/>
      <c r="I57" s="159"/>
      <c r="J57" s="159"/>
      <c r="K57" s="159"/>
      <c r="L57" s="159"/>
      <c r="M57" s="159"/>
      <c r="N57" s="159"/>
      <c r="O57" s="159"/>
    </row>
    <row r="58" spans="2:15" x14ac:dyDescent="0.2">
      <c r="B58" s="119"/>
      <c r="C58" s="119"/>
      <c r="D58" s="119"/>
      <c r="E58" s="119"/>
      <c r="F58" s="119"/>
      <c r="G58" s="120"/>
      <c r="I58" s="159"/>
      <c r="J58" s="159"/>
      <c r="K58" s="159"/>
      <c r="L58" s="159"/>
      <c r="M58" s="159"/>
      <c r="N58" s="159"/>
      <c r="O58" s="159"/>
    </row>
    <row r="59" spans="2:15" x14ac:dyDescent="0.2">
      <c r="B59" s="118" t="s">
        <v>379</v>
      </c>
      <c r="C59" s="119"/>
      <c r="D59" s="119"/>
      <c r="E59" s="119"/>
      <c r="F59" s="119"/>
      <c r="G59" s="120"/>
      <c r="I59" s="159"/>
      <c r="J59" s="159"/>
      <c r="K59" s="159"/>
      <c r="L59" s="159"/>
      <c r="M59" s="159"/>
      <c r="N59" s="159"/>
      <c r="O59" s="159"/>
    </row>
    <row r="60" spans="2:15" s="117" customFormat="1" ht="27" customHeight="1" x14ac:dyDescent="0.2">
      <c r="B60" s="121" t="s">
        <v>127</v>
      </c>
      <c r="C60" s="121" t="s">
        <v>374</v>
      </c>
      <c r="D60" s="121" t="s">
        <v>375</v>
      </c>
      <c r="E60" s="121" t="s">
        <v>376</v>
      </c>
      <c r="F60" s="121" t="s">
        <v>213</v>
      </c>
      <c r="G60" s="122"/>
      <c r="I60" s="161"/>
      <c r="J60" s="161"/>
      <c r="K60" s="162"/>
      <c r="L60" s="162"/>
      <c r="M60" s="162"/>
      <c r="N60" s="161"/>
      <c r="O60" s="161"/>
    </row>
    <row r="61" spans="2:15" x14ac:dyDescent="0.2">
      <c r="B61" s="123" t="s">
        <v>371</v>
      </c>
      <c r="C61" s="123">
        <v>165642.01047645655</v>
      </c>
      <c r="D61" s="123">
        <v>-68748.053697566895</v>
      </c>
      <c r="E61" s="123">
        <v>-0.48901493218363301</v>
      </c>
      <c r="F61" s="123">
        <v>58115.404916259875</v>
      </c>
      <c r="G61" s="120"/>
    </row>
    <row r="62" spans="2:15" x14ac:dyDescent="0.2">
      <c r="B62" s="123" t="s">
        <v>372</v>
      </c>
      <c r="C62" s="123">
        <v>315467.82360000006</v>
      </c>
      <c r="D62" s="123">
        <v>-84164.553715696893</v>
      </c>
      <c r="E62" s="123">
        <v>-0.32798113749114327</v>
      </c>
      <c r="F62" s="123">
        <v>-53225.691759029352</v>
      </c>
      <c r="G62" s="120"/>
    </row>
    <row r="63" spans="2:15" x14ac:dyDescent="0.2">
      <c r="B63" s="123" t="s">
        <v>373</v>
      </c>
      <c r="C63" s="123">
        <v>442872.57600000012</v>
      </c>
      <c r="D63" s="123">
        <v>-40048.313209640059</v>
      </c>
      <c r="E63" s="123">
        <v>-0.11760821992047456</v>
      </c>
      <c r="F63" s="123">
        <v>-131121.14452672371</v>
      </c>
      <c r="G63" s="120"/>
    </row>
    <row r="64" spans="2:15" x14ac:dyDescent="0.2">
      <c r="B64" s="119"/>
      <c r="C64" s="119"/>
      <c r="D64" s="119"/>
      <c r="E64" s="119"/>
      <c r="F64" s="119"/>
      <c r="G64" s="120"/>
    </row>
    <row r="65" spans="2:14" x14ac:dyDescent="0.2">
      <c r="B65" s="119"/>
      <c r="C65" s="119"/>
      <c r="D65" s="119"/>
      <c r="E65" s="119"/>
      <c r="F65" s="119"/>
      <c r="G65" s="120"/>
    </row>
    <row r="66" spans="2:14" x14ac:dyDescent="0.2">
      <c r="B66" s="124" t="s">
        <v>381</v>
      </c>
      <c r="C66" s="119"/>
      <c r="D66" s="119"/>
      <c r="E66" s="119"/>
      <c r="F66" s="119"/>
      <c r="G66" s="120"/>
      <c r="J66" s="159"/>
      <c r="K66" s="159"/>
      <c r="L66" s="159"/>
      <c r="M66" s="159"/>
      <c r="N66" s="159"/>
    </row>
    <row r="67" spans="2:14" x14ac:dyDescent="0.2">
      <c r="B67" s="119"/>
      <c r="C67" s="119"/>
      <c r="D67" s="119"/>
      <c r="E67" s="119"/>
      <c r="F67" s="119"/>
      <c r="G67" s="120"/>
      <c r="J67" s="159"/>
      <c r="K67" s="159"/>
      <c r="L67" s="159"/>
      <c r="M67" s="159"/>
      <c r="N67" s="159"/>
    </row>
    <row r="68" spans="2:14" x14ac:dyDescent="0.2">
      <c r="B68" s="118" t="s">
        <v>382</v>
      </c>
      <c r="C68" s="119"/>
      <c r="D68" s="119"/>
      <c r="E68" s="119"/>
      <c r="F68" s="119"/>
      <c r="G68" s="120"/>
      <c r="J68" s="159"/>
      <c r="K68" s="159"/>
      <c r="L68" s="159"/>
      <c r="M68" s="159"/>
      <c r="N68" s="159"/>
    </row>
    <row r="69" spans="2:14" s="117" customFormat="1" ht="27" customHeight="1" x14ac:dyDescent="0.2">
      <c r="B69" s="121" t="s">
        <v>127</v>
      </c>
      <c r="C69" s="121" t="s">
        <v>374</v>
      </c>
      <c r="D69" s="121" t="s">
        <v>375</v>
      </c>
      <c r="E69" s="121" t="s">
        <v>376</v>
      </c>
      <c r="F69" s="121" t="s">
        <v>213</v>
      </c>
      <c r="G69" s="122"/>
      <c r="J69" s="161"/>
      <c r="K69" s="162"/>
      <c r="L69" s="162"/>
      <c r="M69" s="162"/>
      <c r="N69" s="161"/>
    </row>
    <row r="70" spans="2:14" x14ac:dyDescent="0.2">
      <c r="B70" s="123" t="s">
        <v>371</v>
      </c>
      <c r="C70" s="123">
        <v>271758.33104810305</v>
      </c>
      <c r="D70" s="123">
        <v>-910.53452269276568</v>
      </c>
      <c r="E70" s="123">
        <v>-3.7728210579408117E-2</v>
      </c>
      <c r="F70" s="123">
        <v>115492.52481594712</v>
      </c>
      <c r="G70" s="120"/>
      <c r="J70" s="159"/>
      <c r="K70" s="159"/>
      <c r="L70" s="159"/>
      <c r="M70" s="159"/>
      <c r="N70" s="159"/>
    </row>
    <row r="71" spans="2:14" x14ac:dyDescent="0.2">
      <c r="B71" s="123" t="s">
        <v>372</v>
      </c>
      <c r="C71" s="123">
        <v>503765.89056000009</v>
      </c>
      <c r="D71" s="123">
        <v>25910.376627488644</v>
      </c>
      <c r="E71" s="123">
        <v>3.9878622380206098E-2</v>
      </c>
      <c r="F71" s="123">
        <v>98959.667610719669</v>
      </c>
      <c r="G71" s="120"/>
      <c r="J71" s="159"/>
      <c r="K71" s="159"/>
      <c r="L71" s="159"/>
      <c r="M71" s="159"/>
      <c r="N71" s="159"/>
    </row>
    <row r="72" spans="2:14" x14ac:dyDescent="0.2">
      <c r="B72" s="123" t="s">
        <v>373</v>
      </c>
      <c r="C72" s="123">
        <v>704219.17104000004</v>
      </c>
      <c r="D72" s="123">
        <v>104012.95783001566</v>
      </c>
      <c r="E72" s="123">
        <v>0.14885450364455724</v>
      </c>
      <c r="F72" s="123">
        <v>144308.6036397081</v>
      </c>
      <c r="G72" s="120"/>
      <c r="J72" s="159"/>
      <c r="K72" s="159"/>
      <c r="L72" s="159"/>
      <c r="M72" s="159"/>
      <c r="N72" s="159"/>
    </row>
    <row r="73" spans="2:14" x14ac:dyDescent="0.2">
      <c r="B73" s="119"/>
      <c r="C73" s="119"/>
      <c r="D73" s="119"/>
      <c r="E73" s="119"/>
      <c r="F73" s="119"/>
      <c r="G73" s="120"/>
      <c r="J73" s="159"/>
      <c r="K73" s="159"/>
      <c r="L73" s="159"/>
      <c r="M73" s="159"/>
      <c r="N73" s="159"/>
    </row>
    <row r="74" spans="2:14" x14ac:dyDescent="0.2">
      <c r="B74" s="118" t="s">
        <v>378</v>
      </c>
      <c r="C74" s="119"/>
      <c r="D74" s="119"/>
      <c r="E74" s="119"/>
      <c r="F74" s="119"/>
      <c r="G74" s="120"/>
      <c r="J74" s="159"/>
      <c r="K74" s="159"/>
      <c r="L74" s="159"/>
      <c r="M74" s="159"/>
      <c r="N74" s="159"/>
    </row>
    <row r="75" spans="2:14" s="117" customFormat="1" ht="27" customHeight="1" x14ac:dyDescent="0.2">
      <c r="B75" s="121" t="s">
        <v>127</v>
      </c>
      <c r="C75" s="121" t="s">
        <v>374</v>
      </c>
      <c r="D75" s="121" t="s">
        <v>375</v>
      </c>
      <c r="E75" s="121" t="s">
        <v>376</v>
      </c>
      <c r="F75" s="121" t="s">
        <v>213</v>
      </c>
      <c r="G75" s="122"/>
      <c r="J75" s="161"/>
      <c r="K75" s="162"/>
      <c r="L75" s="162"/>
      <c r="M75" s="162"/>
      <c r="N75" s="161"/>
    </row>
    <row r="76" spans="2:14" x14ac:dyDescent="0.2">
      <c r="B76" s="123" t="s">
        <v>371</v>
      </c>
      <c r="C76" s="123">
        <v>222096.44057194982</v>
      </c>
      <c r="D76" s="123">
        <v>-31213.481653448463</v>
      </c>
      <c r="E76" s="123">
        <v>-0.18594353990824997</v>
      </c>
      <c r="F76" s="123">
        <v>90084.531117631326</v>
      </c>
      <c r="G76" s="120"/>
      <c r="J76" s="159"/>
      <c r="K76" s="159"/>
      <c r="L76" s="159"/>
      <c r="M76" s="159"/>
      <c r="N76" s="159"/>
    </row>
    <row r="77" spans="2:14" x14ac:dyDescent="0.2">
      <c r="B77" s="123" t="s">
        <v>372</v>
      </c>
      <c r="C77" s="123">
        <v>411629.76057599997</v>
      </c>
      <c r="D77" s="123">
        <v>-24457.214596827951</v>
      </c>
      <c r="E77" s="123">
        <v>-8.9213926154092793E-2</v>
      </c>
      <c r="F77" s="123">
        <v>30654.084737978636</v>
      </c>
      <c r="G77" s="120"/>
      <c r="J77" s="159"/>
      <c r="K77" s="159"/>
      <c r="L77" s="159"/>
      <c r="M77" s="159"/>
      <c r="N77" s="159"/>
    </row>
    <row r="78" spans="2:14" x14ac:dyDescent="0.2">
      <c r="B78" s="123" t="s">
        <v>373</v>
      </c>
      <c r="C78" s="123">
        <v>575264.75140800001</v>
      </c>
      <c r="D78" s="123">
        <v>36721.774612342873</v>
      </c>
      <c r="E78" s="123">
        <v>5.5874474881658753E-2</v>
      </c>
      <c r="F78" s="123">
        <v>18982.356074831558</v>
      </c>
      <c r="G78" s="120"/>
      <c r="J78" s="159"/>
      <c r="K78" s="159"/>
      <c r="L78" s="159"/>
      <c r="M78" s="159"/>
      <c r="N78" s="159"/>
    </row>
    <row r="79" spans="2:14" x14ac:dyDescent="0.2">
      <c r="B79" s="119"/>
      <c r="C79" s="119"/>
      <c r="D79" s="119"/>
      <c r="E79" s="119"/>
      <c r="F79" s="119"/>
      <c r="G79" s="120"/>
      <c r="J79" s="159"/>
      <c r="K79" s="159"/>
      <c r="L79" s="159"/>
      <c r="M79" s="159"/>
      <c r="N79" s="159"/>
    </row>
    <row r="80" spans="2:14" x14ac:dyDescent="0.2">
      <c r="B80" s="118" t="s">
        <v>379</v>
      </c>
      <c r="C80" s="119"/>
      <c r="D80" s="119"/>
      <c r="E80" s="119"/>
      <c r="F80" s="119"/>
      <c r="G80" s="120"/>
      <c r="J80" s="159"/>
      <c r="K80" s="159"/>
      <c r="L80" s="159"/>
      <c r="M80" s="159"/>
      <c r="N80" s="159"/>
    </row>
    <row r="81" spans="2:14" s="117" customFormat="1" ht="27" customHeight="1" x14ac:dyDescent="0.2">
      <c r="B81" s="121" t="s">
        <v>127</v>
      </c>
      <c r="C81" s="121" t="s">
        <v>374</v>
      </c>
      <c r="D81" s="121" t="s">
        <v>375</v>
      </c>
      <c r="E81" s="121" t="s">
        <v>376</v>
      </c>
      <c r="F81" s="121" t="s">
        <v>213</v>
      </c>
      <c r="G81" s="122"/>
      <c r="J81" s="161"/>
      <c r="K81" s="162"/>
      <c r="L81" s="162"/>
      <c r="M81" s="162"/>
      <c r="N81" s="161"/>
    </row>
    <row r="82" spans="2:14" x14ac:dyDescent="0.2">
      <c r="B82" s="123" t="s">
        <v>371</v>
      </c>
      <c r="C82" s="123">
        <v>172434.55009579661</v>
      </c>
      <c r="D82" s="123">
        <v>-64087.733035595535</v>
      </c>
      <c r="E82" s="123">
        <v>-0.43235057641474178</v>
      </c>
      <c r="F82" s="123">
        <v>62105.233167924147</v>
      </c>
      <c r="G82" s="120"/>
      <c r="J82" s="159"/>
      <c r="K82" s="159"/>
      <c r="L82" s="159"/>
      <c r="M82" s="159"/>
      <c r="N82" s="159"/>
    </row>
    <row r="83" spans="2:14" x14ac:dyDescent="0.2">
      <c r="B83" s="123" t="s">
        <v>372</v>
      </c>
      <c r="C83" s="123">
        <v>319493.63059200003</v>
      </c>
      <c r="D83" s="123">
        <v>-81562.059802209362</v>
      </c>
      <c r="E83" s="123">
        <v>-0.31446511801470589</v>
      </c>
      <c r="F83" s="123">
        <v>-46960.056367218589</v>
      </c>
      <c r="G83" s="120"/>
      <c r="J83" s="159"/>
      <c r="K83" s="159"/>
      <c r="L83" s="159"/>
      <c r="M83" s="159"/>
      <c r="N83" s="159"/>
    </row>
    <row r="84" spans="2:14" x14ac:dyDescent="0.2">
      <c r="B84" s="123" t="s">
        <v>373</v>
      </c>
      <c r="C84" s="123">
        <v>446310.33177600004</v>
      </c>
      <c r="D84" s="123">
        <v>-37756.148889887496</v>
      </c>
      <c r="E84" s="123">
        <v>-0.11005841109459324</v>
      </c>
      <c r="F84" s="123">
        <v>-122839.19000705873</v>
      </c>
      <c r="G84" s="120"/>
    </row>
    <row r="85" spans="2:14" x14ac:dyDescent="0.2">
      <c r="B85" s="8"/>
      <c r="C85" s="8"/>
      <c r="D85" s="8"/>
      <c r="E85" s="8"/>
      <c r="F85" s="8"/>
    </row>
    <row r="86" spans="2:14" x14ac:dyDescent="0.2">
      <c r="B86" s="8"/>
      <c r="C86" s="8"/>
      <c r="D86" s="8"/>
      <c r="E86" s="8"/>
      <c r="F8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Hypothèses</vt:lpstr>
      <vt:lpstr>CA</vt:lpstr>
      <vt:lpstr>Coûts &amp; variables</vt:lpstr>
      <vt:lpstr>Résultat exploitation</vt:lpstr>
      <vt:lpstr>Trésorerie mensuelle</vt:lpstr>
      <vt:lpstr>Indices</vt:lpstr>
      <vt:lpstr>BILAN</vt:lpstr>
      <vt:lpstr>5ans</vt:lpstr>
      <vt:lpstr>Scénarios</vt:lpstr>
      <vt:lpstr>Seuil de rentabilité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Anakin De Jaegher</cp:lastModifiedBy>
  <dcterms:created xsi:type="dcterms:W3CDTF">2025-06-16T06:20:24Z</dcterms:created>
  <dcterms:modified xsi:type="dcterms:W3CDTF">2025-08-07T12:02:58Z</dcterms:modified>
</cp:coreProperties>
</file>