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matteocedrone/Documents/Mémoire /Mémoire final /"/>
    </mc:Choice>
  </mc:AlternateContent>
  <xr:revisionPtr revIDLastSave="0" documentId="13_ncr:1_{DA3C61B0-D2E0-DA41-8AAD-260EB0DF0DE1}" xr6:coauthVersionLast="47" xr6:coauthVersionMax="47" xr10:uidLastSave="{00000000-0000-0000-0000-000000000000}"/>
  <bookViews>
    <workbookView xWindow="4380" yWindow="0" windowWidth="24420" windowHeight="18000" firstSheet="3" activeTab="7" xr2:uid="{00000000-000D-0000-FFFF-FFFF00000000}"/>
  </bookViews>
  <sheets>
    <sheet name="Analyse Historique" sheetId="1" r:id="rId1"/>
    <sheet name="Hypothèses" sheetId="2" r:id="rId2"/>
    <sheet name="Scénarios Alternatifs " sheetId="3" r:id="rId3"/>
    <sheet name="Scénario Pessimiste + DCF" sheetId="4" r:id="rId4"/>
    <sheet name="Scénario Central + DCF " sheetId="5" r:id="rId5"/>
    <sheet name="Scénario Optimiste + DCF" sheetId="6" r:id="rId6"/>
    <sheet name="Analyse des comparables" sheetId="7" r:id="rId7"/>
    <sheet name="FOOTBALL FIELD VALUATION" sheetId="8" r:id="rId8"/>
    <sheet name="Reputation analysi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13" roundtripDataChecksum="BL82Ko3Id5RX80Bz8LBGOC7Kp8fI8Uv8jNLivclTiMo="/>
    </ext>
  </extLst>
</workbook>
</file>

<file path=xl/calcChain.xml><?xml version="1.0" encoding="utf-8"?>
<calcChain xmlns="http://schemas.openxmlformats.org/spreadsheetml/2006/main">
  <c r="B12" i="9" l="1"/>
  <c r="B8" i="9"/>
  <c r="K11" i="8"/>
  <c r="K10" i="8"/>
  <c r="K9" i="8"/>
  <c r="K8" i="8"/>
  <c r="K7" i="8"/>
  <c r="K6" i="8"/>
  <c r="E29" i="7"/>
  <c r="F29" i="7" s="1"/>
  <c r="C29" i="7"/>
  <c r="C27" i="7"/>
  <c r="E27" i="7" s="1"/>
  <c r="F27" i="7" s="1"/>
  <c r="E26" i="7"/>
  <c r="F26" i="7" s="1"/>
  <c r="E24" i="7"/>
  <c r="F24" i="7" s="1"/>
  <c r="C23" i="7"/>
  <c r="E23" i="7" s="1"/>
  <c r="F23" i="7" s="1"/>
  <c r="E21" i="7"/>
  <c r="F21" i="7" s="1"/>
  <c r="C21" i="7"/>
  <c r="E8" i="7"/>
  <c r="B15" i="7" s="1"/>
  <c r="C15" i="7" s="1"/>
  <c r="E15" i="7" s="1"/>
  <c r="F15" i="7" s="1"/>
  <c r="D8" i="7"/>
  <c r="B14" i="7" s="1"/>
  <c r="E14" i="7" s="1"/>
  <c r="F14" i="7" s="1"/>
  <c r="C8" i="7"/>
  <c r="B13" i="7" s="1"/>
  <c r="C13" i="7" s="1"/>
  <c r="E13" i="7" s="1"/>
  <c r="F13" i="7" s="1"/>
  <c r="B22" i="6"/>
  <c r="B20" i="6"/>
  <c r="B17" i="6"/>
  <c r="B11" i="6"/>
  <c r="B9" i="6"/>
  <c r="B13" i="6" s="1"/>
  <c r="B21" i="6" s="1"/>
  <c r="B26" i="6" s="1"/>
  <c r="C5" i="6"/>
  <c r="C22" i="6" s="1"/>
  <c r="I4" i="6"/>
  <c r="J4" i="6" s="1"/>
  <c r="C20" i="5"/>
  <c r="B20" i="5"/>
  <c r="C18" i="5"/>
  <c r="B18" i="5"/>
  <c r="B15" i="5"/>
  <c r="G13" i="5"/>
  <c r="F13" i="5"/>
  <c r="E13" i="5"/>
  <c r="D13" i="5"/>
  <c r="C13" i="5"/>
  <c r="B11" i="5"/>
  <c r="B19" i="5" s="1"/>
  <c r="B25" i="5" s="1"/>
  <c r="I10" i="5"/>
  <c r="I6" i="5" s="1"/>
  <c r="I7" i="5" s="1"/>
  <c r="B10" i="5"/>
  <c r="C8" i="5"/>
  <c r="B8" i="5"/>
  <c r="I4" i="5"/>
  <c r="J3" i="5" s="1"/>
  <c r="C4" i="5"/>
  <c r="D4" i="5" s="1"/>
  <c r="D10" i="5" s="1"/>
  <c r="B22" i="4"/>
  <c r="B20" i="4"/>
  <c r="B17" i="4"/>
  <c r="B11" i="4"/>
  <c r="B13" i="4" s="1"/>
  <c r="B21" i="4" s="1"/>
  <c r="B26" i="4" s="1"/>
  <c r="C9" i="4"/>
  <c r="B9" i="4"/>
  <c r="C5" i="4"/>
  <c r="C22" i="4" s="1"/>
  <c r="I4" i="4"/>
  <c r="J5" i="4" s="1"/>
  <c r="C46" i="3"/>
  <c r="B46" i="3"/>
  <c r="B44" i="3"/>
  <c r="B41" i="3"/>
  <c r="C35" i="3"/>
  <c r="B35" i="3"/>
  <c r="C33" i="3"/>
  <c r="C37" i="3" s="1"/>
  <c r="B33" i="3"/>
  <c r="B37" i="3" s="1"/>
  <c r="B45" i="3" s="1"/>
  <c r="C29" i="3"/>
  <c r="B23" i="3"/>
  <c r="B21" i="3"/>
  <c r="C20" i="3"/>
  <c r="B18" i="3"/>
  <c r="B12" i="3"/>
  <c r="B14" i="3" s="1"/>
  <c r="B22" i="3" s="1"/>
  <c r="B10" i="3"/>
  <c r="C6" i="3"/>
  <c r="G20" i="2"/>
  <c r="F20" i="2"/>
  <c r="E20" i="2"/>
  <c r="D20" i="2"/>
  <c r="C20" i="2"/>
  <c r="B20" i="2"/>
  <c r="G18" i="2"/>
  <c r="D18" i="2"/>
  <c r="C18" i="2"/>
  <c r="B18" i="2"/>
  <c r="G17" i="2"/>
  <c r="F17" i="2"/>
  <c r="F18" i="2" s="1"/>
  <c r="E17" i="2"/>
  <c r="E18" i="2" s="1"/>
  <c r="D17" i="2"/>
  <c r="B15" i="2"/>
  <c r="G13" i="2"/>
  <c r="F13" i="2"/>
  <c r="E13" i="2"/>
  <c r="D13" i="2"/>
  <c r="C13" i="2"/>
  <c r="G11" i="2"/>
  <c r="G19" i="2" s="1"/>
  <c r="F11" i="2"/>
  <c r="F14" i="2" s="1"/>
  <c r="F15" i="2" s="1"/>
  <c r="G10" i="2"/>
  <c r="F10" i="2"/>
  <c r="E10" i="2"/>
  <c r="D10" i="2"/>
  <c r="C10" i="2"/>
  <c r="B10" i="2"/>
  <c r="G8" i="2"/>
  <c r="F8" i="2"/>
  <c r="E8" i="2"/>
  <c r="D8" i="2"/>
  <c r="D11" i="2" s="1"/>
  <c r="C8" i="2"/>
  <c r="C11" i="2" s="1"/>
  <c r="B8" i="2"/>
  <c r="B11" i="2" s="1"/>
  <c r="B19" i="2" s="1"/>
  <c r="G5" i="2"/>
  <c r="F5" i="2"/>
  <c r="E5" i="2"/>
  <c r="D5" i="2"/>
  <c r="C5" i="2"/>
  <c r="B14" i="1"/>
  <c r="D19" i="2" l="1"/>
  <c r="D14" i="2"/>
  <c r="D15" i="2" s="1"/>
  <c r="J4" i="4"/>
  <c r="I2" i="4" s="1"/>
  <c r="B25" i="7"/>
  <c r="E25" i="7" s="1"/>
  <c r="F25" i="7" s="1"/>
  <c r="G14" i="2"/>
  <c r="G15" i="2" s="1"/>
  <c r="F19" i="2"/>
  <c r="C23" i="3"/>
  <c r="C10" i="3"/>
  <c r="C45" i="3"/>
  <c r="I10" i="4"/>
  <c r="I6" i="4" s="1"/>
  <c r="I7" i="4" s="1"/>
  <c r="D8" i="5"/>
  <c r="D11" i="5" s="1"/>
  <c r="D5" i="6"/>
  <c r="C11" i="6"/>
  <c r="C14" i="2"/>
  <c r="C15" i="2" s="1"/>
  <c r="C19" i="2"/>
  <c r="D6" i="3"/>
  <c r="D5" i="4"/>
  <c r="E4" i="5"/>
  <c r="C19" i="4"/>
  <c r="B22" i="7"/>
  <c r="C22" i="7" s="1"/>
  <c r="E22" i="7" s="1"/>
  <c r="F22" i="7" s="1"/>
  <c r="C11" i="4"/>
  <c r="C13" i="4" s="1"/>
  <c r="D17" i="5"/>
  <c r="E11" i="2"/>
  <c r="B28" i="7"/>
  <c r="C28" i="7" s="1"/>
  <c r="E28" i="7" s="1"/>
  <c r="F28" i="7" s="1"/>
  <c r="C12" i="3"/>
  <c r="D20" i="5"/>
  <c r="C40" i="3"/>
  <c r="C41" i="3" s="1"/>
  <c r="C9" i="6"/>
  <c r="C13" i="6" s="1"/>
  <c r="C19" i="6"/>
  <c r="C43" i="3"/>
  <c r="D29" i="3"/>
  <c r="J4" i="5"/>
  <c r="I2" i="5" s="1"/>
  <c r="J5" i="6"/>
  <c r="C10" i="5"/>
  <c r="C11" i="5" s="1"/>
  <c r="I10" i="6"/>
  <c r="I6" i="6" s="1"/>
  <c r="I7" i="6" s="1"/>
  <c r="C16" i="4" l="1"/>
  <c r="C17" i="4" s="1"/>
  <c r="C21" i="4"/>
  <c r="C26" i="4" s="1"/>
  <c r="C27" i="4" s="1"/>
  <c r="C14" i="5"/>
  <c r="C15" i="5" s="1"/>
  <c r="C19" i="5"/>
  <c r="C25" i="5" s="1"/>
  <c r="C26" i="5" s="1"/>
  <c r="C16" i="6"/>
  <c r="C17" i="6" s="1"/>
  <c r="C21" i="6"/>
  <c r="C26" i="6" s="1"/>
  <c r="C27" i="6" s="1"/>
  <c r="D19" i="5"/>
  <c r="D25" i="5" s="1"/>
  <c r="D26" i="5" s="1"/>
  <c r="D14" i="5"/>
  <c r="D15" i="5" s="1"/>
  <c r="D19" i="6"/>
  <c r="D9" i="6"/>
  <c r="D22" i="6"/>
  <c r="D11" i="6"/>
  <c r="E5" i="6"/>
  <c r="E17" i="5"/>
  <c r="E10" i="5"/>
  <c r="E20" i="5"/>
  <c r="F4" i="5"/>
  <c r="E8" i="5"/>
  <c r="D43" i="3"/>
  <c r="E29" i="3"/>
  <c r="D35" i="3"/>
  <c r="D46" i="3"/>
  <c r="D33" i="3"/>
  <c r="D37" i="3" s="1"/>
  <c r="E19" i="2"/>
  <c r="E14" i="2"/>
  <c r="E15" i="2" s="1"/>
  <c r="I2" i="6"/>
  <c r="D9" i="4"/>
  <c r="E5" i="4"/>
  <c r="D22" i="4"/>
  <c r="D19" i="4"/>
  <c r="D11" i="4"/>
  <c r="D10" i="3"/>
  <c r="D14" i="3" s="1"/>
  <c r="D12" i="3"/>
  <c r="E6" i="3"/>
  <c r="D23" i="3"/>
  <c r="D20" i="3"/>
  <c r="C14" i="3"/>
  <c r="C17" i="3" l="1"/>
  <c r="C18" i="3" s="1"/>
  <c r="C22" i="3"/>
  <c r="E11" i="6"/>
  <c r="F5" i="6"/>
  <c r="E22" i="6"/>
  <c r="E19" i="6"/>
  <c r="E9" i="6"/>
  <c r="E13" i="6" s="1"/>
  <c r="F29" i="3"/>
  <c r="E46" i="3"/>
  <c r="E33" i="3"/>
  <c r="E43" i="3"/>
  <c r="E35" i="3"/>
  <c r="E9" i="4"/>
  <c r="E13" i="4" s="1"/>
  <c r="F5" i="4"/>
  <c r="E19" i="4"/>
  <c r="E11" i="4"/>
  <c r="E22" i="4"/>
  <c r="D22" i="3"/>
  <c r="D17" i="3"/>
  <c r="D18" i="3" s="1"/>
  <c r="D45" i="3"/>
  <c r="D40" i="3"/>
  <c r="D41" i="3" s="1"/>
  <c r="D13" i="4"/>
  <c r="E12" i="3"/>
  <c r="F6" i="3"/>
  <c r="E23" i="3"/>
  <c r="E10" i="3"/>
  <c r="E14" i="3" s="1"/>
  <c r="E20" i="3"/>
  <c r="E11" i="5"/>
  <c r="D13" i="6"/>
  <c r="F17" i="5"/>
  <c r="F20" i="5"/>
  <c r="F8" i="5"/>
  <c r="F10" i="5"/>
  <c r="G4" i="5"/>
  <c r="E19" i="5" l="1"/>
  <c r="E25" i="5" s="1"/>
  <c r="E26" i="5" s="1"/>
  <c r="E14" i="5"/>
  <c r="E15" i="5" s="1"/>
  <c r="F9" i="4"/>
  <c r="G5" i="4"/>
  <c r="F19" i="4"/>
  <c r="F11" i="4"/>
  <c r="F22" i="4"/>
  <c r="G17" i="5"/>
  <c r="G20" i="5"/>
  <c r="G8" i="5"/>
  <c r="G10" i="5"/>
  <c r="E16" i="6"/>
  <c r="E17" i="6" s="1"/>
  <c r="E21" i="6"/>
  <c r="E26" i="6" s="1"/>
  <c r="E27" i="6" s="1"/>
  <c r="E17" i="3"/>
  <c r="E18" i="3" s="1"/>
  <c r="E22" i="3"/>
  <c r="F9" i="6"/>
  <c r="F13" i="6" s="1"/>
  <c r="G5" i="6"/>
  <c r="F19" i="6"/>
  <c r="F11" i="6"/>
  <c r="F22" i="6"/>
  <c r="F11" i="5"/>
  <c r="E37" i="3"/>
  <c r="D16" i="6"/>
  <c r="D17" i="6" s="1"/>
  <c r="D21" i="6"/>
  <c r="D26" i="6" s="1"/>
  <c r="D27" i="6" s="1"/>
  <c r="F46" i="3"/>
  <c r="F33" i="3"/>
  <c r="F43" i="3"/>
  <c r="F35" i="3"/>
  <c r="G29" i="3"/>
  <c r="E21" i="4"/>
  <c r="E26" i="4" s="1"/>
  <c r="E27" i="4" s="1"/>
  <c r="E16" i="4"/>
  <c r="E17" i="4" s="1"/>
  <c r="F12" i="3"/>
  <c r="F20" i="3"/>
  <c r="G6" i="3"/>
  <c r="F23" i="3"/>
  <c r="F10" i="3"/>
  <c r="D16" i="4"/>
  <c r="D17" i="4" s="1"/>
  <c r="D21" i="4"/>
  <c r="D26" i="4" s="1"/>
  <c r="D27" i="4" s="1"/>
  <c r="G46" i="3" l="1"/>
  <c r="G33" i="3"/>
  <c r="G43" i="3"/>
  <c r="G35" i="3"/>
  <c r="F19" i="5"/>
  <c r="F25" i="5" s="1"/>
  <c r="F26" i="5" s="1"/>
  <c r="F14" i="5"/>
  <c r="F15" i="5" s="1"/>
  <c r="F14" i="3"/>
  <c r="G19" i="4"/>
  <c r="G11" i="4"/>
  <c r="G22" i="4"/>
  <c r="G9" i="4"/>
  <c r="G13" i="4" s="1"/>
  <c r="F37" i="3"/>
  <c r="G11" i="5"/>
  <c r="F16" i="6"/>
  <c r="F17" i="6" s="1"/>
  <c r="F21" i="6"/>
  <c r="F26" i="6" s="1"/>
  <c r="F27" i="6" s="1"/>
  <c r="E45" i="3"/>
  <c r="E40" i="3"/>
  <c r="E41" i="3" s="1"/>
  <c r="F13" i="4"/>
  <c r="G20" i="3"/>
  <c r="G23" i="3"/>
  <c r="G12" i="3"/>
  <c r="G10" i="3"/>
  <c r="G14" i="3" s="1"/>
  <c r="G9" i="6"/>
  <c r="G19" i="6"/>
  <c r="G11" i="6"/>
  <c r="G22" i="6"/>
  <c r="F17" i="3" l="1"/>
  <c r="F18" i="3" s="1"/>
  <c r="F22" i="3"/>
  <c r="G21" i="4"/>
  <c r="G26" i="4" s="1"/>
  <c r="G16" i="4"/>
  <c r="G17" i="4" s="1"/>
  <c r="G22" i="3"/>
  <c r="G17" i="3"/>
  <c r="G18" i="3" s="1"/>
  <c r="G19" i="5"/>
  <c r="G25" i="5" s="1"/>
  <c r="G14" i="5"/>
  <c r="G15" i="5" s="1"/>
  <c r="F40" i="3"/>
  <c r="F41" i="3" s="1"/>
  <c r="F45" i="3"/>
  <c r="F21" i="4"/>
  <c r="F26" i="4" s="1"/>
  <c r="F27" i="4" s="1"/>
  <c r="F16" i="4"/>
  <c r="F17" i="4" s="1"/>
  <c r="G37" i="3"/>
  <c r="G13" i="6"/>
  <c r="G21" i="6" l="1"/>
  <c r="G26" i="6" s="1"/>
  <c r="G16" i="6"/>
  <c r="G17" i="6" s="1"/>
  <c r="G40" i="3"/>
  <c r="G41" i="3" s="1"/>
  <c r="G45" i="3"/>
  <c r="I15" i="4"/>
  <c r="I16" i="4" s="1"/>
  <c r="G27" i="4"/>
  <c r="B29" i="4"/>
  <c r="I19" i="4" s="1"/>
  <c r="I21" i="4" s="1"/>
  <c r="I23" i="4" s="1"/>
  <c r="G26" i="5"/>
  <c r="B28" i="5" s="1"/>
  <c r="I19" i="5" s="1"/>
  <c r="I21" i="5" s="1"/>
  <c r="I23" i="5" s="1"/>
  <c r="I15" i="5"/>
  <c r="I16" i="5" s="1"/>
  <c r="G27" i="6" l="1"/>
  <c r="B29" i="6" s="1"/>
  <c r="I15" i="6"/>
  <c r="I16" i="6" s="1"/>
  <c r="I19" i="6" l="1"/>
  <c r="I21" i="6" s="1"/>
  <c r="I23" i="6" s="1"/>
</calcChain>
</file>

<file path=xl/sharedStrings.xml><?xml version="1.0" encoding="utf-8"?>
<sst xmlns="http://schemas.openxmlformats.org/spreadsheetml/2006/main" count="551" uniqueCount="285">
  <si>
    <t>SYENSQO — Analyse Financière Historique 2021–2025</t>
  </si>
  <si>
    <t>Source principale : Rapports annuels Syensqo 2022-2024 + Communiqué FY2025 (26/02/2026)</t>
  </si>
  <si>
    <t>Indicateur</t>
  </si>
  <si>
    <t>2021</t>
  </si>
  <si>
    <t>2022</t>
  </si>
  <si>
    <t>2023</t>
  </si>
  <si>
    <t>2024</t>
  </si>
  <si>
    <t>2025A</t>
  </si>
  <si>
    <t>Notes analytiques</t>
  </si>
  <si>
    <t>COMPTE DE RÉSULTAT</t>
  </si>
  <si>
    <t>Chiffre d'affaires (M€)</t>
  </si>
  <si>
    <t>2021-2022 : données pro forma combinées pré-scission. 2025 : communiqué 26/02/2026</t>
  </si>
  <si>
    <t xml:space="preserve">  Croissance CA (%)</t>
  </si>
  <si>
    <t>n.d.</t>
  </si>
  <si>
    <t>2025 : -3,2% organique (écart de change €/USD = -3,3 pts)</t>
  </si>
  <si>
    <t xml:space="preserve">  Marge brute (%)</t>
  </si>
  <si>
    <t>Stabilité 31-35% → pricing power structurel, aucun sacrifice de prix</t>
  </si>
  <si>
    <t>EBITDA sous-jacent (M€)</t>
  </si>
  <si>
    <t>Pic 2022 porté par effet prix post-inflation. Contraction -35% depuis 2022</t>
  </si>
  <si>
    <t xml:space="preserve">  Marge EBITDA (%)</t>
  </si>
  <si>
    <t>Fourchette historique 19,7%-23,7%. Base projections scénario central</t>
  </si>
  <si>
    <t>D&amp;A (M€)</t>
  </si>
  <si>
    <t>2025 : estimation provisoire (rapport annuel complet attendu)</t>
  </si>
  <si>
    <t>EBIT (M€)</t>
  </si>
  <si>
    <t>Charges financières nettes (M€)</t>
  </si>
  <si>
    <t>Hausse post-scission : Syensqo se refinance seul à taux post-inflationnistes</t>
  </si>
  <si>
    <t>Résultat net sous-jacent (M€)</t>
  </si>
  <si>
    <t>2025 : -31% vs 2024. Groupe rentable au plancher du cycle</t>
  </si>
  <si>
    <t xml:space="preserve">  Marge nette (%)</t>
  </si>
  <si>
    <t>12,3%</t>
  </si>
  <si>
    <t>BILAN</t>
  </si>
  <si>
    <t>Total actif (M€)</t>
  </si>
  <si>
    <t>Données pré-scission (2021-2022) : états financiers combinés pro forma</t>
  </si>
  <si>
    <t>Immobilisations corporelles nettes (M€)</t>
  </si>
  <si>
    <t>Hausse 2023-2024 : mise en service capacités PVDF nord-américaines</t>
  </si>
  <si>
    <t>Incorporels &amp; goodwill (M€)</t>
  </si>
  <si>
    <t>Stable → aucune dépréciation malgré cycle bas</t>
  </si>
  <si>
    <t>Stocks (M€)</t>
  </si>
  <si>
    <t>Déstockage 2023-2024 : libération de liquidités, soutien FCF</t>
  </si>
  <si>
    <t>Capitaux propres (Hors Hybrides) (M€)</t>
  </si>
  <si>
    <t xml:space="preserve">Hors participations minoritaires et obligations hybrides </t>
  </si>
  <si>
    <t>Dette financière nette sous-jacente (M€)</t>
  </si>
  <si>
    <t>Hausse due rachats d'actions + dividendes + coûts séparation</t>
  </si>
  <si>
    <t>Levier financier (Dette nette / EBITDA)</t>
  </si>
  <si>
    <t>1,3x en 2024 → 1,7x en 2025. Très solide vs secteur (seuil alert. ~3x)</t>
  </si>
  <si>
    <t>CASH FLOWS</t>
  </si>
  <si>
    <t>Flux opérationnel (M€)</t>
  </si>
  <si>
    <t>2025 : -7,4% vs EBITDA -14,3% → gestion BFR amortit la contraction</t>
  </si>
  <si>
    <t>Capex (M€)</t>
  </si>
  <si>
    <t>Pic 848M en 2023 lié au déploiement PVDF USA. Phase terminée en 2025</t>
  </si>
  <si>
    <t>FCF sous-jacent (M€)</t>
  </si>
  <si>
    <t>2024 : 390M hors paiement exceptionnel NJDEP (167M). 2025 &gt; attentes direction</t>
  </si>
  <si>
    <t>Taux conversion FCF/EBITDA (%)</t>
  </si>
  <si>
    <t>Base calibration projections : 27,6%-29,4% sur 2022-2025</t>
  </si>
  <si>
    <t>ROCE (%)</t>
  </si>
  <si>
    <t xml:space="preserve">Besoin en fonds de roulement (BFR) </t>
  </si>
  <si>
    <t>SYENSQO Modèle Financier  |  Hypothèses du Scénario Central</t>
  </si>
  <si>
    <t>2026E</t>
  </si>
  <si>
    <t>2027E</t>
  </si>
  <si>
    <t>2028E</t>
  </si>
  <si>
    <t>2029E</t>
  </si>
  <si>
    <t>2030E</t>
  </si>
  <si>
    <t xml:space="preserve">Commentaires </t>
  </si>
  <si>
    <t>CHIFFRE D'AFFAIRES</t>
  </si>
  <si>
    <t xml:space="preserve">Source: Syensqo FY2025 (26/02/2026); projections </t>
  </si>
  <si>
    <t>EBITDA &amp; RENTABILITÉ</t>
  </si>
  <si>
    <t>Marge EBITDA (%)</t>
  </si>
  <si>
    <t>Source: historique 18,6%-23,7% ; cible conservatrice milieu fourchette</t>
  </si>
  <si>
    <t xml:space="preserve">  EBITDA sous-jacent (M€)</t>
  </si>
  <si>
    <t>D&amp;A — amortissements (M€)</t>
  </si>
  <si>
    <t>Source: mise en service actifs PVDF; Capex maintenance → D&amp;A stable</t>
  </si>
  <si>
    <t xml:space="preserve"> EBIT (M€)</t>
  </si>
  <si>
    <t xml:space="preserve">Le résultat net croît plus vite que votre EBIT (Croissance annuelle de ~17 % contre ~12 % pour l'EBIT), Effet de levier </t>
  </si>
  <si>
    <t>Réduction graduelle endettement net via génération FCF</t>
  </si>
  <si>
    <t>Taux d'imposition effectif (%)</t>
  </si>
  <si>
    <t>Source: taux historique Syensqo 2022-2024 (23%-25%)</t>
  </si>
  <si>
    <t>CAPEX &amp; FREE CASH FLOW</t>
  </si>
  <si>
    <t>2026: guidance direction; 2027-2030: allégement, plutôt des coûts de maintenance, moyenne du secteur 7-8%</t>
  </si>
  <si>
    <t>Capex / CA (%)</t>
  </si>
  <si>
    <t>Free Cash Flow to the Firm (M€)</t>
  </si>
  <si>
    <r>
      <rPr>
        <sz val="10"/>
        <color rgb="FF000000"/>
        <rFont val="Arial"/>
      </rPr>
      <t>Besoin en fonds de roulement</t>
    </r>
    <r>
      <rPr>
        <b/>
        <sz val="10"/>
        <color rgb="FF000000"/>
        <rFont val="Arial"/>
      </rPr>
      <t xml:space="preserve"> (BFR)</t>
    </r>
  </si>
  <si>
    <t xml:space="preserve">Ratio fixe de 18,3% par rapport au CA (estimé avec moyenne 2023 et 2024), exception en 2026 ou il sera de 19.5 car mise en service de l'usine donc BFR plus élevé </t>
  </si>
  <si>
    <t>SCÉNARIO PESSIMISTE  Concurrence chinoise PVDF + PFAS + Chocs géopolitiques</t>
  </si>
  <si>
    <t>D&amp;A - amortissements (M€)</t>
  </si>
  <si>
    <t>D&amp;A / CA (%)</t>
  </si>
  <si>
    <r>
      <rPr>
        <sz val="10"/>
        <color rgb="FF000000"/>
        <rFont val="Arial"/>
      </rPr>
      <t>Besoin en fonds de roulement</t>
    </r>
    <r>
      <rPr>
        <b/>
        <sz val="10"/>
        <color rgb="FF000000"/>
        <rFont val="Arial"/>
      </rPr>
      <t xml:space="preserve"> </t>
    </r>
    <r>
      <rPr>
        <sz val="10"/>
        <color rgb="FF000000"/>
        <rFont val="Arial"/>
      </rPr>
      <t>(BFR)</t>
    </r>
  </si>
  <si>
    <t>SCÉNARIO OPTIMISTE - Rebond déstockage + PVDF + IA/semi-conducteurs</t>
  </si>
  <si>
    <t xml:space="preserve">2 pt de plus que le scénario central </t>
  </si>
  <si>
    <r>
      <rPr>
        <sz val="10"/>
        <color rgb="FF000000"/>
        <rFont val="Arial"/>
      </rPr>
      <t>Besoin en fonds de roulement</t>
    </r>
    <r>
      <rPr>
        <b/>
        <sz val="10"/>
        <color rgb="FF000000"/>
        <rFont val="Arial"/>
      </rPr>
      <t xml:space="preserve"> (BFR)</t>
    </r>
  </si>
  <si>
    <t>WACC</t>
  </si>
  <si>
    <t>T = taux d'imposition</t>
  </si>
  <si>
    <t xml:space="preserve">E = valeur marché capitaux propres </t>
  </si>
  <si>
    <t>D = valeur marché de la dette nette</t>
  </si>
  <si>
    <t xml:space="preserve">Re = coût des capitaux propres </t>
  </si>
  <si>
    <t xml:space="preserve">Rd = coût de la dette </t>
  </si>
  <si>
    <t>Rf = Risk free premium</t>
  </si>
  <si>
    <t>beta (β)</t>
  </si>
  <si>
    <t>ERP = equity risk premium</t>
  </si>
  <si>
    <t xml:space="preserve">Prix de l'action (30 avril en €) </t>
  </si>
  <si>
    <t>nombre total d'actions</t>
  </si>
  <si>
    <t xml:space="preserve">Valeur terminale </t>
  </si>
  <si>
    <t xml:space="preserve">Valeur terminale Actuallisée </t>
  </si>
  <si>
    <t xml:space="preserve">taux de croissance perpétuelle (g) </t>
  </si>
  <si>
    <t xml:space="preserve">Valeur d'entreprise </t>
  </si>
  <si>
    <t xml:space="preserve">Valeur des capitaux propres  </t>
  </si>
  <si>
    <r>
      <rPr>
        <sz val="10"/>
        <color rgb="FF000000"/>
        <rFont val="Arial"/>
      </rPr>
      <t>Besoin en fonds de roulement</t>
    </r>
    <r>
      <rPr>
        <b/>
        <sz val="10"/>
        <color rgb="FF000000"/>
        <rFont val="Arial"/>
      </rPr>
      <t xml:space="preserve"> </t>
    </r>
    <r>
      <rPr>
        <sz val="10"/>
        <color rgb="FF000000"/>
        <rFont val="Arial"/>
      </rPr>
      <t>(BFR)</t>
    </r>
  </si>
  <si>
    <t>Prix par action</t>
  </si>
  <si>
    <t>ACTUALISATION DES FLUX DE TRÉSORERIE</t>
  </si>
  <si>
    <t>Indicateur (M€)</t>
  </si>
  <si>
    <t>FCFF</t>
  </si>
  <si>
    <t xml:space="preserve">FCFF - Actualisé  </t>
  </si>
  <si>
    <t>x</t>
  </si>
  <si>
    <t>Somme des VA (M€)</t>
  </si>
  <si>
    <t>ANALYSE DE SENSIBILITÉ PESSIMISTE</t>
  </si>
  <si>
    <t>Hypothèses</t>
  </si>
  <si>
    <t>g = 1.5%</t>
  </si>
  <si>
    <t>g = 2.0%</t>
  </si>
  <si>
    <t>g = 2.5%</t>
  </si>
  <si>
    <t>g = 3.0%</t>
  </si>
  <si>
    <t>WACC 7%</t>
  </si>
  <si>
    <t>WACC 7.5%</t>
  </si>
  <si>
    <t>WACC 8%</t>
  </si>
  <si>
    <t>WACC 8.5%</t>
  </si>
  <si>
    <t>WACC 9%</t>
  </si>
  <si>
    <t xml:space="preserve">SYENSQO - DCF - Hypothèse centrale </t>
  </si>
  <si>
    <r>
      <rPr>
        <sz val="10"/>
        <color rgb="FF000000"/>
        <rFont val="Arial"/>
      </rPr>
      <t>Besoin en fonds de roulement</t>
    </r>
    <r>
      <rPr>
        <b/>
        <sz val="10"/>
        <color rgb="FF000000"/>
        <rFont val="Arial"/>
      </rPr>
      <t xml:space="preserve"> (BFR)</t>
    </r>
  </si>
  <si>
    <t xml:space="preserve">ANALYSE DE SENSIBILITÉ </t>
  </si>
  <si>
    <r>
      <rPr>
        <sz val="10"/>
        <color rgb="FF000000"/>
        <rFont val="Arial"/>
      </rPr>
      <t>Besoin en fonds de roulement</t>
    </r>
    <r>
      <rPr>
        <b/>
        <sz val="10"/>
        <color rgb="FF000000"/>
        <rFont val="Arial"/>
      </rPr>
      <t xml:space="preserve"> (BFR)</t>
    </r>
  </si>
  <si>
    <t>ANALYSE DE SENSIBILITÉ OPTIMISTE:</t>
  </si>
  <si>
    <t xml:space="preserve">Calculations de la moyenne et de la médiane des multiples de notre échantillon </t>
  </si>
  <si>
    <t>Entreprise</t>
  </si>
  <si>
    <t>Pays</t>
  </si>
  <si>
    <t>VE/EBITDA 2026</t>
  </si>
  <si>
    <t>P/E 2026</t>
  </si>
  <si>
    <t>VE/EBIT</t>
  </si>
  <si>
    <t xml:space="preserve">Arkema </t>
  </si>
  <si>
    <t>France</t>
  </si>
  <si>
    <t>EBITDA 2026E</t>
  </si>
  <si>
    <t>EBIT 2026E</t>
  </si>
  <si>
    <t xml:space="preserve">Evonik </t>
  </si>
  <si>
    <t xml:space="preserve">Allemagne </t>
  </si>
  <si>
    <t>Celanlese</t>
  </si>
  <si>
    <t>US</t>
  </si>
  <si>
    <t xml:space="preserve">Victrex </t>
  </si>
  <si>
    <t>UK</t>
  </si>
  <si>
    <t>MEDIANE</t>
  </si>
  <si>
    <t>Source: Zonebourse</t>
  </si>
  <si>
    <t xml:space="preserve">Valorisation Syensqo </t>
  </si>
  <si>
    <t>Multiple utilisé</t>
  </si>
  <si>
    <t>Médiane</t>
  </si>
  <si>
    <t>VE estimé (M€)</t>
  </si>
  <si>
    <t>Dette nette (M€)</t>
  </si>
  <si>
    <t>Valeur des capitaux propres (M€)</t>
  </si>
  <si>
    <t>Prix par action estimé</t>
  </si>
  <si>
    <t xml:space="preserve">VE/EBITDA </t>
  </si>
  <si>
    <t>Cours/Bénéfices (P/E)</t>
  </si>
  <si>
    <t xml:space="preserve">VE/EBIT </t>
  </si>
  <si>
    <t>Analyse de Sensibilité</t>
  </si>
  <si>
    <t>Multiple</t>
  </si>
  <si>
    <t>Médian</t>
  </si>
  <si>
    <t>Valeur cap. propres (M€)</t>
  </si>
  <si>
    <t xml:space="preserve">Prix par action estimé </t>
  </si>
  <si>
    <t>VE/EBITDA (scénario bas)</t>
  </si>
  <si>
    <t>VE/EBITDA (scénario central)</t>
  </si>
  <si>
    <t>VE/EBITDA (scénario haut)</t>
  </si>
  <si>
    <t>P/E (scénario bas)</t>
  </si>
  <si>
    <t xml:space="preserve">P/E (scénario central) </t>
  </si>
  <si>
    <t xml:space="preserve">P/E (scéanrio haut) </t>
  </si>
  <si>
    <t>VE/EBIT (scénario bas)</t>
  </si>
  <si>
    <t xml:space="preserve">VE/EBIT (scénario central) </t>
  </si>
  <si>
    <t xml:space="preserve">VE/EBIT (scéanrio haut) </t>
  </si>
  <si>
    <t xml:space="preserve">Méthode d'évaluation </t>
  </si>
  <si>
    <t>Bas</t>
  </si>
  <si>
    <t>Ecart</t>
  </si>
  <si>
    <t>Haut</t>
  </si>
  <si>
    <t>Comparables (Ratio C/B)</t>
  </si>
  <si>
    <t>Comparables (Ratio VE/EBITDA)</t>
  </si>
  <si>
    <t>Comparables (Ratio VE/EBIT)</t>
  </si>
  <si>
    <t>DCF (sénario Optimiste)</t>
  </si>
  <si>
    <t>DCF (sénario Central)</t>
  </si>
  <si>
    <t>DCF (sénario Pessimiste)</t>
  </si>
  <si>
    <t xml:space="preserve">Analyse de réputation </t>
  </si>
  <si>
    <t xml:space="preserve">Critères </t>
  </si>
  <si>
    <t xml:space="preserve">Données </t>
  </si>
  <si>
    <t xml:space="preserve">Nb de points  </t>
  </si>
  <si>
    <t>Commentaires</t>
  </si>
  <si>
    <t>1. Comportement du cours de l'action</t>
  </si>
  <si>
    <t>1.1 Mouvements erratiques du cours de l’action</t>
  </si>
  <si>
    <t>Probabilité de mouvements erratiques (variation de plus de 3,5%)</t>
  </si>
  <si>
    <t>9,11%</t>
  </si>
  <si>
    <t>54 jours sur 593</t>
  </si>
  <si>
    <r>
      <rPr>
        <b/>
        <sz val="11"/>
        <rFont val="Calibri"/>
      </rPr>
      <t xml:space="preserve">Utilisation d'un fichier CSV avec l'historique de prix du 02/01/2024 au 30/04/2026 téléchargé sur </t>
    </r>
    <r>
      <rPr>
        <b/>
        <u/>
        <sz val="11"/>
        <color rgb="FF1155CC"/>
        <rFont val="Calibri"/>
      </rPr>
      <t>investing.com</t>
    </r>
  </si>
  <si>
    <t>1.2 Écart du cours de l’action par rapport à sa tendance</t>
  </si>
  <si>
    <t>Écart du cours par rapport à la MM200</t>
  </si>
  <si>
    <t>Données de yahoo Finance au 30/5/26</t>
  </si>
  <si>
    <t>2. Qualité de la structure de l’actionnariat</t>
  </si>
  <si>
    <t>2.1 Détention par les investisseurs institutionnels “majeurs”</t>
  </si>
  <si>
    <t>Proportion d'investisseurs institutionnels majeurs (% du flottant)</t>
  </si>
  <si>
    <t>12,2% d'investisseurs institutionels majeurs (plus de 100 Md€ en gestion) et le free float est de 66,71% (Zonebourse)</t>
  </si>
  <si>
    <t>Source: https://fr.investing.com/equities/syensqo-ownership</t>
  </si>
  <si>
    <t>2.2 Fidélité de l’actionnariat</t>
  </si>
  <si>
    <t>Proportion de fonds vendant leurs actions chaque trimestre</t>
  </si>
  <si>
    <t>N/A</t>
  </si>
  <si>
    <t>3. Gouvernance et orientation vers la création de valeur pour l’actionnaire</t>
  </si>
  <si>
    <t>15/20</t>
  </si>
  <si>
    <t>3.1 Actionnaire de référence</t>
  </si>
  <si>
    <t>Typologie de l’actionnaire de référence</t>
  </si>
  <si>
    <t xml:space="preserve">Family holding </t>
  </si>
  <si>
    <t>Solvac SA avec 30,81%</t>
  </si>
  <si>
    <t>3.2 Structure du conseil d'administration</t>
  </si>
  <si>
    <t>Administrateurs étant des actionnaires significatifs</t>
  </si>
  <si>
    <t>0/2</t>
  </si>
  <si>
    <t>Séparation des fonctions de CEO et de Président du conseil d’administration</t>
  </si>
  <si>
    <t>Oui</t>
  </si>
  <si>
    <t>Pourcentage d’administrateurs indépendants</t>
  </si>
  <si>
    <t xml:space="preserve">6 sur 10 indépendants </t>
  </si>
  <si>
    <t>3.3 Focus du CEO</t>
  </si>
  <si>
    <t>Participation en actions exprimée en nombre d’années de salaire</t>
  </si>
  <si>
    <t>3.4 Intensité des relations investisseurs</t>
  </si>
  <si>
    <t>Nombre de jours par an consacrés par le CEO aux investisseurs</t>
  </si>
  <si>
    <t>plus de 20</t>
  </si>
  <si>
    <t>Syensqo à participé à 29 événements, le CEO était présent dans beacoup de ces évents, Rapport annuel 2024</t>
  </si>
  <si>
    <t>Nombre de jours par an consacrés par le CFO aux investisseurs</t>
  </si>
  <si>
    <t>1 point bonus</t>
  </si>
  <si>
    <t>Nombre d’analystes couvrant l’entreprise</t>
  </si>
  <si>
    <t>Rapport annuel intégré 2024</t>
  </si>
  <si>
    <t>4. Responsabilité sociale et environnementale</t>
  </si>
  <si>
    <t>18/20</t>
  </si>
  <si>
    <t>4.1 Reporting et priorisation de l’impact social</t>
  </si>
  <si>
    <t>Priorisation formelle de l’impact social</t>
  </si>
  <si>
    <t>Priorité première</t>
  </si>
  <si>
    <t xml:space="preserve">santé, sécurité et bien-être comme priorité </t>
  </si>
  <si>
    <t>Reporting des indicateurs de performance sociale</t>
  </si>
  <si>
    <t>Reporting detaillé et régulier</t>
  </si>
  <si>
    <t xml:space="preserve">détaillé, régulier et audité </t>
  </si>
  <si>
    <t>4.2 Impact des opérations et des produits sur les personnes</t>
  </si>
  <si>
    <t>Impact des opérations sur les personnes</t>
  </si>
  <si>
    <t xml:space="preserve">impact positif </t>
  </si>
  <si>
    <t>Syensqo crée des emplois qualifiés en R&amp;D, offre d'excellentes conditions de travail et n'a pas été impliquée dans des scandales récents liés au droit du travail</t>
  </si>
  <si>
    <t>Impact des produits/services sur les clients</t>
  </si>
  <si>
    <t xml:space="preserve">Les produits de Syensqo ont une utilité sociétale directe et positive (tensioactifs, polymères spécialisés,...) </t>
  </si>
  <si>
    <t>4.3 Reporting et priorisation de l’impact environnemental</t>
  </si>
  <si>
    <t>Priorisation formelle de l’impact environnemental</t>
  </si>
  <si>
    <t>Au travers de sa feuille de route "One Planet", Syensqo vise la neutralité carbone pour les Scopes 1 et 2 d'ici 2040</t>
  </si>
  <si>
    <t>Reporting des indicateurs de performance environnementale</t>
  </si>
  <si>
    <t>niveau de transparence est maximal</t>
  </si>
  <si>
    <t>4.4 Impact des opérations et des produits sur l’environnement</t>
  </si>
  <si>
    <t>Impact des opérations sur l’environnement</t>
  </si>
  <si>
    <t xml:space="preserve">Impact négatif </t>
  </si>
  <si>
    <t>Consomme beaucoup d'eau et éléctricté + historique de pollution au PFAS</t>
  </si>
  <si>
    <t>Impact des produits/services sur l’environnement</t>
  </si>
  <si>
    <t>Impact positif</t>
  </si>
  <si>
    <t>Allègemets d'avions, batteries pour véhicules électriques</t>
  </si>
  <si>
    <t>5. Communication et crédibilité auprès du marché</t>
  </si>
  <si>
    <t>13/20</t>
  </si>
  <si>
    <t>5.1 Qualité de la communication</t>
  </si>
  <si>
    <t xml:space="preserve">Communication du business model </t>
  </si>
  <si>
    <t>Détaillé</t>
  </si>
  <si>
    <t>Très clair et détaillé</t>
  </si>
  <si>
    <t xml:space="preserve">Communication de la stratégie </t>
  </si>
  <si>
    <t xml:space="preserve">Communication sur l'allocation du capital </t>
  </si>
  <si>
    <t>Communication des résultats et de la performance</t>
  </si>
  <si>
    <t>Cohérence de la communication</t>
  </si>
  <si>
    <t>Moyen</t>
  </si>
  <si>
    <t>la controverse retentissante autour de la rémunération de l'ex-CEO Ilham Kadri a créé une légère dissonance narrative entre le discours de "création de valeur partagée" et la réalité de la gouvernance initiale,</t>
  </si>
  <si>
    <t>5.2 Cohérene</t>
  </si>
  <si>
    <t xml:space="preserve">Cohérence de la stratégie </t>
  </si>
  <si>
    <t xml:space="preserve">moyen </t>
  </si>
  <si>
    <t xml:space="preserve">On est passé d'un discours très optimiste (hyper croissance) a un discours plus prudent (protection des marges) avec le changement de CEO, la promesse à changé </t>
  </si>
  <si>
    <t>sai</t>
  </si>
  <si>
    <t xml:space="preserve">Cohérence du reporting </t>
  </si>
  <si>
    <t>Cohérence comptable</t>
  </si>
  <si>
    <t>5.3 Prévisions</t>
  </si>
  <si>
    <t xml:space="preserve">Atteinte des objectifs annoncés </t>
  </si>
  <si>
    <t>0/5</t>
  </si>
  <si>
    <t xml:space="preserve">Objectifs de croissance communiqués beaucoup trop ambiteux depuis la scission, elles ont du être revus à la baisse </t>
  </si>
  <si>
    <t>6. Conclusion</t>
  </si>
  <si>
    <t>Decile</t>
  </si>
  <si>
    <t xml:space="preserve">Score total </t>
  </si>
  <si>
    <t>Réputation adéquate sur les marchés financiers</t>
  </si>
  <si>
    <t xml:space="preserve">Quatrième </t>
  </si>
  <si>
    <t>57/90</t>
  </si>
  <si>
    <t>Score converti</t>
  </si>
  <si>
    <t>63/100</t>
  </si>
  <si>
    <t>Fourchette entre 61,95€ et 82,97€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</si>
</sst>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0.0\x"/>
    <numFmt numFmtId="166" formatCode="[$€]#,##0"/>
    <numFmt numFmtId="167" formatCode="[$€]#,##0.00"/>
    <numFmt numFmtId="168" formatCode="#,##0;\(#,##0\)"/>
    <numFmt numFmtId="169" formatCode="#,##0.00&quot;€&quot;"/>
    <numFmt numFmtId="170" formatCode="#,##0.00;\(#,##0.00\)"/>
    <numFmt numFmtId="171" formatCode="#,##0.000;\(#,##0.000\)"/>
    <numFmt numFmtId="172" formatCode="m/d"/>
  </numFmts>
  <fonts count="26">
    <font>
      <sz val="11"/>
      <color theme="1"/>
      <name val="Calibri"/>
      <scheme val="minor"/>
    </font>
    <font>
      <b/>
      <sz val="13"/>
      <color rgb="FFFFFFFF"/>
      <name val="Arial"/>
    </font>
    <font>
      <sz val="11"/>
      <name val="Calibri"/>
    </font>
    <font>
      <i/>
      <sz val="9"/>
      <color rgb="FF666666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8"/>
      <color rgb="FF888888"/>
      <name val="Arial"/>
    </font>
    <font>
      <sz val="11"/>
      <color theme="1"/>
      <name val="Calibri"/>
      <scheme val="minor"/>
    </font>
    <font>
      <i/>
      <sz val="8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1F1F1F"/>
      <name val="Roboto"/>
    </font>
    <font>
      <sz val="11"/>
      <color rgb="FF000000"/>
      <name val="Arial"/>
    </font>
    <font>
      <sz val="9"/>
      <color rgb="FF444746"/>
      <name val="&quot;Google Sans&quot;"/>
    </font>
    <font>
      <sz val="11"/>
      <color rgb="FF1F1F1F"/>
      <name val="Roboto"/>
    </font>
    <font>
      <b/>
      <sz val="12"/>
      <color theme="1"/>
      <name val="Calibri"/>
      <scheme val="minor"/>
    </font>
    <font>
      <b/>
      <sz val="13"/>
      <color theme="1"/>
      <name val="Calibri"/>
      <scheme val="minor"/>
    </font>
    <font>
      <b/>
      <u/>
      <sz val="11"/>
      <color rgb="FF0000FF"/>
      <name val="Calibri"/>
    </font>
    <font>
      <sz val="12"/>
      <color rgb="FF000000"/>
      <name val="Calibri"/>
      <scheme val="minor"/>
    </font>
    <font>
      <b/>
      <sz val="11"/>
      <name val="Calibri"/>
    </font>
    <font>
      <b/>
      <u/>
      <sz val="11"/>
      <color rgb="FF1155CC"/>
      <name val="Calibri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1A1A1A"/>
        <bgColor rgb="FF1A1A1A"/>
      </patternFill>
    </fill>
    <fill>
      <patternFill patternType="solid">
        <fgColor rgb="FFF05A28"/>
        <bgColor rgb="FFF05A28"/>
      </patternFill>
    </fill>
    <fill>
      <patternFill patternType="solid">
        <fgColor rgb="FFC0392B"/>
        <bgColor rgb="FFC0392B"/>
      </patternFill>
    </fill>
    <fill>
      <patternFill patternType="solid">
        <fgColor rgb="FF1A5C2A"/>
        <bgColor rgb="FF1A5C2A"/>
      </patternFill>
    </fill>
    <fill>
      <patternFill patternType="solid">
        <fgColor rgb="FFE69138"/>
        <bgColor rgb="FFE69138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/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0" fontId="9" fillId="0" borderId="4" xfId="0" applyFont="1" applyBorder="1"/>
    <xf numFmtId="164" fontId="7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center" vertical="center"/>
    </xf>
    <xf numFmtId="0" fontId="9" fillId="0" borderId="9" xfId="0" applyFont="1" applyBorder="1"/>
    <xf numFmtId="0" fontId="7" fillId="0" borderId="5" xfId="0" applyFont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center" vertical="center"/>
    </xf>
    <xf numFmtId="10" fontId="9" fillId="0" borderId="9" xfId="0" applyNumberFormat="1" applyFont="1" applyBorder="1"/>
    <xf numFmtId="0" fontId="4" fillId="3" borderId="10" xfId="0" applyFont="1" applyFill="1" applyBorder="1" applyAlignment="1">
      <alignment horizontal="center" vertical="center"/>
    </xf>
    <xf numFmtId="10" fontId="10" fillId="0" borderId="0" xfId="0" applyNumberFormat="1" applyFont="1"/>
    <xf numFmtId="0" fontId="4" fillId="6" borderId="3" xfId="0" applyFont="1" applyFill="1" applyBorder="1" applyAlignment="1">
      <alignment horizontal="left" vertical="center"/>
    </xf>
    <xf numFmtId="0" fontId="11" fillId="0" borderId="0" xfId="0" applyFont="1"/>
    <xf numFmtId="0" fontId="12" fillId="7" borderId="7" xfId="0" applyFont="1" applyFill="1" applyBorder="1"/>
    <xf numFmtId="10" fontId="12" fillId="7" borderId="7" xfId="0" applyNumberFormat="1" applyFont="1" applyFill="1" applyBorder="1"/>
    <xf numFmtId="0" fontId="10" fillId="0" borderId="11" xfId="0" applyFont="1" applyBorder="1"/>
    <xf numFmtId="9" fontId="10" fillId="0" borderId="7" xfId="0" applyNumberFormat="1" applyFont="1" applyBorder="1"/>
    <xf numFmtId="0" fontId="10" fillId="0" borderId="7" xfId="0" applyFont="1" applyBorder="1"/>
    <xf numFmtId="166" fontId="10" fillId="0" borderId="7" xfId="0" applyNumberFormat="1" applyFont="1" applyBorder="1"/>
    <xf numFmtId="10" fontId="10" fillId="0" borderId="7" xfId="0" applyNumberFormat="1" applyFont="1" applyBorder="1"/>
    <xf numFmtId="2" fontId="10" fillId="0" borderId="7" xfId="0" applyNumberFormat="1" applyFont="1" applyBorder="1"/>
    <xf numFmtId="167" fontId="10" fillId="0" borderId="7" xfId="0" applyNumberFormat="1" applyFont="1" applyBorder="1"/>
    <xf numFmtId="168" fontId="10" fillId="0" borderId="7" xfId="0" applyNumberFormat="1" applyFont="1" applyBorder="1"/>
    <xf numFmtId="9" fontId="10" fillId="0" borderId="0" xfId="0" applyNumberFormat="1" applyFont="1"/>
    <xf numFmtId="167" fontId="12" fillId="8" borderId="7" xfId="0" applyNumberFormat="1" applyFont="1" applyFill="1" applyBorder="1"/>
    <xf numFmtId="0" fontId="12" fillId="0" borderId="0" xfId="0" applyFont="1"/>
    <xf numFmtId="0" fontId="5" fillId="9" borderId="5" xfId="0" applyFont="1" applyFill="1" applyBorder="1" applyAlignment="1">
      <alignment horizontal="center" vertical="center"/>
    </xf>
    <xf numFmtId="0" fontId="10" fillId="10" borderId="7" xfId="0" applyFont="1" applyFill="1" applyBorder="1"/>
    <xf numFmtId="166" fontId="10" fillId="7" borderId="7" xfId="0" applyNumberFormat="1" applyFont="1" applyFill="1" applyBorder="1"/>
    <xf numFmtId="167" fontId="10" fillId="0" borderId="0" xfId="0" applyNumberFormat="1" applyFont="1"/>
    <xf numFmtId="0" fontId="13" fillId="7" borderId="7" xfId="0" applyFont="1" applyFill="1" applyBorder="1" applyAlignment="1">
      <alignment horizontal="center"/>
    </xf>
    <xf numFmtId="0" fontId="14" fillId="10" borderId="7" xfId="0" applyFont="1" applyFill="1" applyBorder="1"/>
    <xf numFmtId="169" fontId="14" fillId="0" borderId="7" xfId="0" applyNumberFormat="1" applyFont="1" applyBorder="1"/>
    <xf numFmtId="169" fontId="13" fillId="8" borderId="7" xfId="0" applyNumberFormat="1" applyFont="1" applyFill="1" applyBorder="1"/>
    <xf numFmtId="166" fontId="10" fillId="0" borderId="0" xfId="0" applyNumberFormat="1" applyFont="1"/>
    <xf numFmtId="10" fontId="7" fillId="0" borderId="9" xfId="0" applyNumberFormat="1" applyFont="1" applyBorder="1" applyAlignment="1">
      <alignment horizontal="center" vertical="center"/>
    </xf>
    <xf numFmtId="0" fontId="12" fillId="9" borderId="7" xfId="0" applyFont="1" applyFill="1" applyBorder="1"/>
    <xf numFmtId="0" fontId="12" fillId="9" borderId="7" xfId="0" applyFont="1" applyFill="1" applyBorder="1" applyAlignment="1">
      <alignment horizontal="center"/>
    </xf>
    <xf numFmtId="0" fontId="0" fillId="9" borderId="7" xfId="0" applyFill="1" applyBorder="1"/>
    <xf numFmtId="0" fontId="10" fillId="11" borderId="7" xfId="0" applyFont="1" applyFill="1" applyBorder="1" applyAlignment="1">
      <alignment horizontal="center"/>
    </xf>
    <xf numFmtId="170" fontId="10" fillId="11" borderId="7" xfId="0" applyNumberFormat="1" applyFont="1" applyFill="1" applyBorder="1" applyAlignment="1">
      <alignment horizontal="center"/>
    </xf>
    <xf numFmtId="0" fontId="10" fillId="0" borderId="0" xfId="0" applyFont="1"/>
    <xf numFmtId="167" fontId="14" fillId="12" borderId="0" xfId="0" applyNumberFormat="1" applyFont="1" applyFill="1" applyAlignment="1">
      <alignment horizontal="left"/>
    </xf>
    <xf numFmtId="167" fontId="10" fillId="0" borderId="0" xfId="0" applyNumberFormat="1" applyFont="1" applyAlignment="1">
      <alignment horizontal="left"/>
    </xf>
    <xf numFmtId="171" fontId="12" fillId="9" borderId="7" xfId="0" applyNumberFormat="1" applyFont="1" applyFill="1" applyBorder="1" applyAlignment="1">
      <alignment horizontal="center"/>
    </xf>
    <xf numFmtId="170" fontId="12" fillId="9" borderId="7" xfId="0" applyNumberFormat="1" applyFont="1" applyFill="1" applyBorder="1" applyAlignment="1">
      <alignment horizontal="center"/>
    </xf>
    <xf numFmtId="0" fontId="10" fillId="9" borderId="7" xfId="0" applyFont="1" applyFill="1" applyBorder="1"/>
    <xf numFmtId="171" fontId="10" fillId="0" borderId="7" xfId="0" applyNumberFormat="1" applyFont="1" applyBorder="1" applyAlignment="1">
      <alignment horizontal="center"/>
    </xf>
    <xf numFmtId="167" fontId="10" fillId="0" borderId="7" xfId="0" applyNumberFormat="1" applyFont="1" applyBorder="1" applyAlignment="1">
      <alignment horizontal="center"/>
    </xf>
    <xf numFmtId="167" fontId="12" fillId="8" borderId="7" xfId="0" applyNumberFormat="1" applyFont="1" applyFill="1" applyBorder="1" applyAlignment="1">
      <alignment horizontal="center"/>
    </xf>
    <xf numFmtId="170" fontId="10" fillId="0" borderId="7" xfId="0" applyNumberFormat="1" applyFont="1" applyBorder="1" applyAlignment="1">
      <alignment horizontal="center"/>
    </xf>
    <xf numFmtId="171" fontId="10" fillId="0" borderId="7" xfId="0" applyNumberFormat="1" applyFont="1" applyBorder="1"/>
    <xf numFmtId="167" fontId="12" fillId="0" borderId="7" xfId="0" applyNumberFormat="1" applyFont="1" applyBorder="1" applyAlignment="1">
      <alignment horizontal="center"/>
    </xf>
    <xf numFmtId="170" fontId="10" fillId="0" borderId="7" xfId="0" applyNumberFormat="1" applyFont="1" applyBorder="1"/>
    <xf numFmtId="0" fontId="10" fillId="7" borderId="7" xfId="0" applyFont="1" applyFill="1" applyBorder="1"/>
    <xf numFmtId="0" fontId="15" fillId="0" borderId="0" xfId="0" applyFont="1" applyAlignment="1">
      <alignment horizontal="center"/>
    </xf>
    <xf numFmtId="0" fontId="16" fillId="12" borderId="0" xfId="0" applyFont="1" applyFill="1" applyAlignment="1">
      <alignment horizontal="left"/>
    </xf>
    <xf numFmtId="0" fontId="17" fillId="0" borderId="0" xfId="0" applyFont="1" applyAlignment="1">
      <alignment horizontal="center"/>
    </xf>
    <xf numFmtId="0" fontId="18" fillId="12" borderId="0" xfId="0" applyFont="1" applyFill="1"/>
    <xf numFmtId="0" fontId="19" fillId="0" borderId="0" xfId="0" applyFont="1"/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20" fillId="4" borderId="7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172" fontId="12" fillId="9" borderId="7" xfId="0" applyNumberFormat="1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172" fontId="10" fillId="0" borderId="0" xfId="0" applyNumberFormat="1" applyFont="1" applyAlignment="1">
      <alignment horizontal="center"/>
    </xf>
    <xf numFmtId="0" fontId="21" fillId="0" borderId="0" xfId="0" applyFont="1"/>
    <xf numFmtId="10" fontId="14" fillId="0" borderId="7" xfId="0" applyNumberFormat="1" applyFont="1" applyBorder="1" applyAlignment="1">
      <alignment horizontal="center"/>
    </xf>
    <xf numFmtId="172" fontId="14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3" fillId="9" borderId="7" xfId="0" applyFont="1" applyFill="1" applyBorder="1"/>
    <xf numFmtId="0" fontId="14" fillId="9" borderId="7" xfId="0" applyFont="1" applyFill="1" applyBorder="1" applyAlignment="1">
      <alignment horizontal="center"/>
    </xf>
    <xf numFmtId="172" fontId="13" fillId="9" borderId="7" xfId="0" applyNumberFormat="1" applyFont="1" applyFill="1" applyBorder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9" fontId="14" fillId="0" borderId="7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left" vertical="center"/>
    </xf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12" fillId="0" borderId="0" xfId="0" applyFont="1"/>
    <xf numFmtId="0" fontId="2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Football Field Valuation 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'FOOTBALL FIELD VALUATION'!$J$5</c:f>
              <c:strCache>
                <c:ptCount val="1"/>
                <c:pt idx="0">
                  <c:v>Bas</c:v>
                </c:pt>
              </c:strCache>
            </c:strRef>
          </c:tx>
          <c:spPr>
            <a:noFill/>
            <a:ln cmpd="sng">
              <a:solidFill>
                <a:srgbClr val="000000"/>
              </a:solidFill>
            </a:ln>
          </c:spPr>
          <c:invertIfNegative val="1"/>
          <c:cat>
            <c:strRef>
              <c:f>'FOOTBALL FIELD VALUATION'!$I$6:$I$11</c:f>
              <c:strCache>
                <c:ptCount val="6"/>
                <c:pt idx="0">
                  <c:v>Comparables (Ratio C/B)</c:v>
                </c:pt>
                <c:pt idx="1">
                  <c:v>Comparables (Ratio VE/EBITDA)</c:v>
                </c:pt>
                <c:pt idx="2">
                  <c:v>Comparables (Ratio VE/EBIT)</c:v>
                </c:pt>
                <c:pt idx="3">
                  <c:v>DCF (sénario Optimiste)</c:v>
                </c:pt>
                <c:pt idx="4">
                  <c:v>DCF (sénario Central)</c:v>
                </c:pt>
                <c:pt idx="5">
                  <c:v>DCF (sénario Pessimiste)</c:v>
                </c:pt>
              </c:strCache>
            </c:strRef>
          </c:cat>
          <c:val>
            <c:numRef>
              <c:f>'FOOTBALL FIELD VALUATION'!$J$6:$J$11</c:f>
              <c:numCache>
                <c:formatCode>[$€]#,##0.00</c:formatCode>
                <c:ptCount val="6"/>
                <c:pt idx="0">
                  <c:v>59.12</c:v>
                </c:pt>
                <c:pt idx="1">
                  <c:v>50.43</c:v>
                </c:pt>
                <c:pt idx="2" formatCode="General">
                  <c:v>53.44</c:v>
                </c:pt>
                <c:pt idx="3">
                  <c:v>76.91</c:v>
                </c:pt>
                <c:pt idx="4">
                  <c:v>61.95</c:v>
                </c:pt>
                <c:pt idx="5">
                  <c:v>45.35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C-6A4D-B80A-AEBEBEE06781}"/>
            </c:ext>
          </c:extLst>
        </c:ser>
        <c:ser>
          <c:idx val="1"/>
          <c:order val="1"/>
          <c:tx>
            <c:strRef>
              <c:f>'FOOTBALL FIELD VALUATION'!$K$5</c:f>
              <c:strCache>
                <c:ptCount val="1"/>
                <c:pt idx="0">
                  <c:v>Ecart</c:v>
                </c:pt>
              </c:strCache>
            </c:strRef>
          </c:tx>
          <c:spPr>
            <a:solidFill>
              <a:srgbClr val="F7964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'FOOTBALL FIELD VALUATION'!$I$6:$I$11</c:f>
              <c:strCache>
                <c:ptCount val="6"/>
                <c:pt idx="0">
                  <c:v>Comparables (Ratio C/B)</c:v>
                </c:pt>
                <c:pt idx="1">
                  <c:v>Comparables (Ratio VE/EBITDA)</c:v>
                </c:pt>
                <c:pt idx="2">
                  <c:v>Comparables (Ratio VE/EBIT)</c:v>
                </c:pt>
                <c:pt idx="3">
                  <c:v>DCF (sénario Optimiste)</c:v>
                </c:pt>
                <c:pt idx="4">
                  <c:v>DCF (sénario Central)</c:v>
                </c:pt>
                <c:pt idx="5">
                  <c:v>DCF (sénario Pessimiste)</c:v>
                </c:pt>
              </c:strCache>
            </c:strRef>
          </c:cat>
          <c:val>
            <c:numRef>
              <c:f>'FOOTBALL FIELD VALUATION'!$K$6:$K$11</c:f>
              <c:numCache>
                <c:formatCode>[$€]#,##0.00</c:formatCode>
                <c:ptCount val="6"/>
                <c:pt idx="0">
                  <c:v>23.640000000000008</c:v>
                </c:pt>
                <c:pt idx="1">
                  <c:v>32.54</c:v>
                </c:pt>
                <c:pt idx="2">
                  <c:v>19.89</c:v>
                </c:pt>
                <c:pt idx="3">
                  <c:v>78.78</c:v>
                </c:pt>
                <c:pt idx="4">
                  <c:v>64.69</c:v>
                </c:pt>
                <c:pt idx="5">
                  <c:v>52.13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5CC-6A4D-B80A-AEBEBEE06781}"/>
            </c:ext>
          </c:extLst>
        </c:ser>
        <c:ser>
          <c:idx val="2"/>
          <c:order val="2"/>
          <c:tx>
            <c:strRef>
              <c:f>'FOOTBALL FIELD VALUATION'!$L$5</c:f>
              <c:strCache>
                <c:ptCount val="1"/>
                <c:pt idx="0">
                  <c:v>Haut</c:v>
                </c:pt>
              </c:strCache>
            </c:strRef>
          </c:tx>
          <c:spPr>
            <a:noFill/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45CC-6A4D-B80A-AEBEBEE06781}"/>
              </c:ext>
            </c:extLst>
          </c:dPt>
          <c:cat>
            <c:strRef>
              <c:f>'FOOTBALL FIELD VALUATION'!$I$6:$I$11</c:f>
              <c:strCache>
                <c:ptCount val="6"/>
                <c:pt idx="0">
                  <c:v>Comparables (Ratio C/B)</c:v>
                </c:pt>
                <c:pt idx="1">
                  <c:v>Comparables (Ratio VE/EBITDA)</c:v>
                </c:pt>
                <c:pt idx="2">
                  <c:v>Comparables (Ratio VE/EBIT)</c:v>
                </c:pt>
                <c:pt idx="3">
                  <c:v>DCF (sénario Optimiste)</c:v>
                </c:pt>
                <c:pt idx="4">
                  <c:v>DCF (sénario Central)</c:v>
                </c:pt>
                <c:pt idx="5">
                  <c:v>DCF (sénario Pessimiste)</c:v>
                </c:pt>
              </c:strCache>
            </c:strRef>
          </c:cat>
          <c:val>
            <c:numRef>
              <c:f>'FOOTBALL FIELD VALUATION'!$L$6:$L$11</c:f>
              <c:numCache>
                <c:formatCode>[$€]#,##0.00</c:formatCode>
                <c:ptCount val="6"/>
                <c:pt idx="0">
                  <c:v>82.76</c:v>
                </c:pt>
                <c:pt idx="1">
                  <c:v>82.97</c:v>
                </c:pt>
                <c:pt idx="2" formatCode="General">
                  <c:v>73.33</c:v>
                </c:pt>
                <c:pt idx="3">
                  <c:v>155.69</c:v>
                </c:pt>
                <c:pt idx="4">
                  <c:v>126.64</c:v>
                </c:pt>
                <c:pt idx="5">
                  <c:v>97.48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CC-6A4D-B80A-AEBEBEE06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5883359"/>
        <c:axId val="196713917"/>
      </c:barChart>
      <c:catAx>
        <c:axId val="107588335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Méthode d'évaluation 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GR"/>
          </a:p>
        </c:txPr>
        <c:crossAx val="196713917"/>
        <c:crosses val="autoZero"/>
        <c:auto val="1"/>
        <c:lblAlgn val="ctr"/>
        <c:lblOffset val="100"/>
        <c:noMultiLvlLbl val="1"/>
      </c:catAx>
      <c:valAx>
        <c:axId val="196713917"/>
        <c:scaling>
          <c:orientation val="minMax"/>
          <c:max val="22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R"/>
              </a:p>
            </c:rich>
          </c:tx>
          <c:overlay val="0"/>
        </c:title>
        <c:numFmt formatCode="[$€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GR"/>
          </a:p>
        </c:txPr>
        <c:crossAx val="1075883359"/>
        <c:crosses val="max"/>
        <c:crossBetween val="between"/>
      </c:valAx>
    </c:plotArea>
    <c:legend>
      <c:legendPos val="r"/>
      <c:legendEntry>
        <c:idx val="0"/>
        <c:txPr>
          <a:bodyPr/>
          <a:lstStyle/>
          <a:p>
            <a:pPr lvl="0">
              <a:defRPr>
                <a:solidFill>
                  <a:srgbClr val="F9F9F9"/>
                </a:solidFill>
              </a:defRPr>
            </a:pPr>
            <a:endParaRPr lang="en-GR"/>
          </a:p>
        </c:txPr>
      </c:legendEntry>
      <c:legendEntry>
        <c:idx val="1"/>
        <c:txPr>
          <a:bodyPr/>
          <a:lstStyle/>
          <a:p>
            <a:pPr lvl="0">
              <a:defRPr>
                <a:solidFill>
                  <a:srgbClr val="F9F9F9"/>
                </a:solidFill>
              </a:defRPr>
            </a:pPr>
            <a:endParaRPr lang="en-GR"/>
          </a:p>
        </c:txPr>
      </c:legendEntry>
      <c:legendEntry>
        <c:idx val="2"/>
        <c:txPr>
          <a:bodyPr/>
          <a:lstStyle/>
          <a:p>
            <a:pPr lvl="0">
              <a:defRPr>
                <a:solidFill>
                  <a:srgbClr val="FFFFFF"/>
                </a:solidFill>
              </a:defRPr>
            </a:pPr>
            <a:endParaRPr lang="en-GR"/>
          </a:p>
        </c:txPr>
      </c:legendEntry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G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7629525" cy="4705350"/>
    <xdr:graphicFrame macro="">
      <xdr:nvGraphicFramePr>
        <xdr:cNvPr id="746745661" name="Chart 1" title="Chart">
          <a:extLst>
            <a:ext uri="{FF2B5EF4-FFF2-40B4-BE49-F238E27FC236}">
              <a16:creationId xmlns:a16="http://schemas.microsoft.com/office/drawing/2014/main" id="{00000000-0008-0000-0700-00003D6F82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>
    <xdr:from>
      <xdr:col>3</xdr:col>
      <xdr:colOff>508000</xdr:colOff>
      <xdr:row>4</xdr:row>
      <xdr:rowOff>25400</xdr:rowOff>
    </xdr:from>
    <xdr:to>
      <xdr:col>3</xdr:col>
      <xdr:colOff>508000</xdr:colOff>
      <xdr:row>24</xdr:row>
      <xdr:rowOff>12700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10A6C2B-96B9-DD4C-B2AB-FF23D296A0BD}"/>
            </a:ext>
          </a:extLst>
        </xdr:cNvPr>
        <xdr:cNvCxnSpPr/>
      </xdr:nvCxnSpPr>
      <xdr:spPr>
        <a:xfrm>
          <a:off x="3822700" y="787400"/>
          <a:ext cx="0" cy="3797300"/>
        </a:xfrm>
        <a:prstGeom prst="line">
          <a:avLst/>
        </a:prstGeom>
        <a:ln/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0.43779</cdr:x>
      <cdr:y>0.10661</cdr:y>
    </cdr:from>
    <cdr:to>
      <cdr:x>0.44112</cdr:x>
      <cdr:y>0.87045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DD248ED-8A15-A543-ACFB-3749317CF95A}"/>
            </a:ext>
          </a:extLst>
        </cdr:cNvPr>
        <cdr:cNvCxnSpPr/>
      </cdr:nvCxnSpPr>
      <cdr:spPr>
        <a:xfrm xmlns:a="http://schemas.openxmlformats.org/drawingml/2006/main" flipH="1" flipV="1">
          <a:off x="3340100" y="501650"/>
          <a:ext cx="25400" cy="35941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3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2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invest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9" sqref="D9"/>
    </sheetView>
  </sheetViews>
  <sheetFormatPr baseColWidth="10" defaultColWidth="14.5" defaultRowHeight="15" customHeight="1"/>
  <cols>
    <col min="1" max="1" width="36" customWidth="1"/>
    <col min="2" max="6" width="13" customWidth="1"/>
    <col min="7" max="7" width="40" customWidth="1"/>
    <col min="8" max="26" width="8.6640625" customWidth="1"/>
  </cols>
  <sheetData>
    <row r="1" spans="1:7" ht="27.75" customHeight="1">
      <c r="A1" s="98" t="s">
        <v>0</v>
      </c>
      <c r="B1" s="99"/>
      <c r="C1" s="99"/>
      <c r="D1" s="99"/>
      <c r="E1" s="99"/>
      <c r="F1" s="99"/>
      <c r="G1" s="100"/>
    </row>
    <row r="2" spans="1:7" ht="15.75" customHeight="1">
      <c r="A2" s="101" t="s">
        <v>1</v>
      </c>
      <c r="B2" s="102"/>
      <c r="C2" s="102"/>
      <c r="D2" s="102"/>
      <c r="E2" s="102"/>
      <c r="F2" s="102"/>
      <c r="G2" s="10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" customHeight="1">
      <c r="A4" s="103" t="s">
        <v>9</v>
      </c>
      <c r="B4" s="99"/>
      <c r="C4" s="99"/>
      <c r="D4" s="99"/>
      <c r="E4" s="99"/>
      <c r="F4" s="99"/>
      <c r="G4" s="100"/>
    </row>
    <row r="5" spans="1:7" ht="24">
      <c r="A5" s="2" t="s">
        <v>10</v>
      </c>
      <c r="B5" s="3">
        <v>5915</v>
      </c>
      <c r="C5" s="3">
        <v>7890</v>
      </c>
      <c r="D5" s="3">
        <v>6834</v>
      </c>
      <c r="E5" s="3">
        <v>6563</v>
      </c>
      <c r="F5" s="3">
        <v>6140</v>
      </c>
      <c r="G5" s="4" t="s">
        <v>11</v>
      </c>
    </row>
    <row r="6" spans="1:7">
      <c r="A6" s="5" t="s">
        <v>12</v>
      </c>
      <c r="B6" s="6" t="s">
        <v>13</v>
      </c>
      <c r="C6" s="7">
        <v>0.33300000000000002</v>
      </c>
      <c r="D6" s="7">
        <v>-0.13400000000000001</v>
      </c>
      <c r="E6" s="7">
        <v>-0.04</v>
      </c>
      <c r="F6" s="7">
        <v>-6.5000000000000002E-2</v>
      </c>
      <c r="G6" s="4" t="s">
        <v>14</v>
      </c>
    </row>
    <row r="7" spans="1:7">
      <c r="A7" s="5" t="s">
        <v>15</v>
      </c>
      <c r="B7" s="7">
        <v>0.31</v>
      </c>
      <c r="C7" s="7">
        <v>0.35</v>
      </c>
      <c r="D7" s="7">
        <v>0.34</v>
      </c>
      <c r="E7" s="7">
        <v>0.33800000000000002</v>
      </c>
      <c r="F7" s="7">
        <v>0.31</v>
      </c>
      <c r="G7" s="4" t="s">
        <v>16</v>
      </c>
    </row>
    <row r="8" spans="1:7" ht="24">
      <c r="A8" s="2" t="s">
        <v>17</v>
      </c>
      <c r="B8" s="3">
        <v>1282</v>
      </c>
      <c r="C8" s="3">
        <v>1863</v>
      </c>
      <c r="D8" s="3">
        <v>1618</v>
      </c>
      <c r="E8" s="3">
        <v>1412</v>
      </c>
      <c r="F8" s="3">
        <v>1210</v>
      </c>
      <c r="G8" s="4" t="s">
        <v>18</v>
      </c>
    </row>
    <row r="9" spans="1:7" ht="24">
      <c r="A9" s="5" t="s">
        <v>19</v>
      </c>
      <c r="B9" s="8">
        <v>0.217</v>
      </c>
      <c r="C9" s="7">
        <v>0.23599999999999999</v>
      </c>
      <c r="D9" s="7">
        <v>0.23699999999999999</v>
      </c>
      <c r="E9" s="7">
        <v>0.215</v>
      </c>
      <c r="F9" s="7">
        <v>0.19700000000000001</v>
      </c>
      <c r="G9" s="4" t="s">
        <v>20</v>
      </c>
    </row>
    <row r="10" spans="1:7">
      <c r="A10" s="5" t="s">
        <v>21</v>
      </c>
      <c r="B10" s="6" t="s">
        <v>13</v>
      </c>
      <c r="C10" s="9">
        <v>482</v>
      </c>
      <c r="D10" s="9">
        <v>484</v>
      </c>
      <c r="E10" s="9">
        <v>533</v>
      </c>
      <c r="F10" s="9">
        <v>497</v>
      </c>
      <c r="G10" s="4" t="s">
        <v>22</v>
      </c>
    </row>
    <row r="11" spans="1:7">
      <c r="A11" s="5" t="s">
        <v>23</v>
      </c>
      <c r="B11" s="9">
        <v>834</v>
      </c>
      <c r="C11" s="9">
        <v>1381</v>
      </c>
      <c r="D11" s="9">
        <v>1134</v>
      </c>
      <c r="E11" s="9">
        <v>879</v>
      </c>
      <c r="F11" s="9">
        <v>672</v>
      </c>
      <c r="G11" s="4"/>
    </row>
    <row r="12" spans="1:7" ht="24">
      <c r="A12" s="5" t="s">
        <v>24</v>
      </c>
      <c r="B12" s="9">
        <v>111</v>
      </c>
      <c r="C12" s="9">
        <v>133</v>
      </c>
      <c r="D12" s="9">
        <v>159</v>
      </c>
      <c r="E12" s="9">
        <v>148</v>
      </c>
      <c r="F12" s="9">
        <v>156</v>
      </c>
      <c r="G12" s="4" t="s">
        <v>25</v>
      </c>
    </row>
    <row r="13" spans="1:7">
      <c r="A13" s="2" t="s">
        <v>26</v>
      </c>
      <c r="B13" s="3">
        <v>567</v>
      </c>
      <c r="C13" s="3">
        <v>989</v>
      </c>
      <c r="D13" s="3">
        <v>756</v>
      </c>
      <c r="E13" s="3">
        <v>553</v>
      </c>
      <c r="F13" s="3">
        <v>381</v>
      </c>
      <c r="G13" s="4" t="s">
        <v>27</v>
      </c>
    </row>
    <row r="14" spans="1:7">
      <c r="A14" s="5" t="s">
        <v>28</v>
      </c>
      <c r="B14" s="8">
        <f>B13/B5</f>
        <v>9.5857988165680474E-2</v>
      </c>
      <c r="C14" s="10" t="s">
        <v>29</v>
      </c>
      <c r="D14" s="7">
        <v>0.111</v>
      </c>
      <c r="E14" s="7">
        <v>8.4000000000000005E-2</v>
      </c>
      <c r="F14" s="7">
        <v>6.2E-2</v>
      </c>
      <c r="G14" s="4"/>
    </row>
    <row r="15" spans="1:7" ht="18" customHeight="1">
      <c r="A15" s="104" t="s">
        <v>30</v>
      </c>
      <c r="B15" s="99"/>
      <c r="C15" s="99"/>
      <c r="D15" s="99"/>
      <c r="E15" s="99"/>
      <c r="F15" s="99"/>
      <c r="G15" s="100"/>
    </row>
    <row r="16" spans="1:7" ht="24">
      <c r="A16" s="5" t="s">
        <v>31</v>
      </c>
      <c r="B16" s="9">
        <v>12675</v>
      </c>
      <c r="C16" s="9">
        <v>13630</v>
      </c>
      <c r="D16" s="9">
        <v>12894</v>
      </c>
      <c r="E16" s="9">
        <v>12373</v>
      </c>
      <c r="F16" s="6" t="s">
        <v>13</v>
      </c>
      <c r="G16" s="4" t="s">
        <v>32</v>
      </c>
    </row>
    <row r="17" spans="1:7" ht="24">
      <c r="A17" s="5" t="s">
        <v>33</v>
      </c>
      <c r="B17" s="6" t="s">
        <v>13</v>
      </c>
      <c r="C17" s="6" t="s">
        <v>13</v>
      </c>
      <c r="D17" s="9">
        <v>3494</v>
      </c>
      <c r="E17" s="9">
        <v>3729</v>
      </c>
      <c r="F17" s="6" t="s">
        <v>13</v>
      </c>
      <c r="G17" s="4" t="s">
        <v>34</v>
      </c>
    </row>
    <row r="18" spans="1:7">
      <c r="A18" s="5" t="s">
        <v>35</v>
      </c>
      <c r="B18" s="6" t="s">
        <v>13</v>
      </c>
      <c r="C18" s="6" t="s">
        <v>13</v>
      </c>
      <c r="D18" s="9">
        <v>4200</v>
      </c>
      <c r="E18" s="9">
        <v>4200</v>
      </c>
      <c r="F18" s="6" t="s">
        <v>13</v>
      </c>
      <c r="G18" s="4" t="s">
        <v>36</v>
      </c>
    </row>
    <row r="19" spans="1:7">
      <c r="A19" s="5" t="s">
        <v>37</v>
      </c>
      <c r="B19" s="6" t="s">
        <v>13</v>
      </c>
      <c r="C19" s="9">
        <v>1390</v>
      </c>
      <c r="D19" s="9">
        <v>1244</v>
      </c>
      <c r="E19" s="9">
        <v>1273</v>
      </c>
      <c r="F19" s="6" t="s">
        <v>13</v>
      </c>
      <c r="G19" s="4" t="s">
        <v>38</v>
      </c>
    </row>
    <row r="20" spans="1:7">
      <c r="A20" s="5" t="s">
        <v>39</v>
      </c>
      <c r="B20" s="9">
        <v>4315</v>
      </c>
      <c r="C20" s="9">
        <v>4922</v>
      </c>
      <c r="D20" s="9">
        <v>7072</v>
      </c>
      <c r="E20" s="9">
        <v>6938</v>
      </c>
      <c r="F20" s="6" t="s">
        <v>13</v>
      </c>
      <c r="G20" s="4" t="s">
        <v>40</v>
      </c>
    </row>
    <row r="21" spans="1:7" ht="15.75" customHeight="1">
      <c r="A21" s="5" t="s">
        <v>41</v>
      </c>
      <c r="B21" s="6" t="s">
        <v>13</v>
      </c>
      <c r="C21" s="6" t="s">
        <v>13</v>
      </c>
      <c r="D21" s="9">
        <v>1584</v>
      </c>
      <c r="E21" s="9">
        <v>1859</v>
      </c>
      <c r="F21" s="9">
        <v>2024</v>
      </c>
      <c r="G21" s="4" t="s">
        <v>42</v>
      </c>
    </row>
    <row r="22" spans="1:7" ht="15.75" customHeight="1">
      <c r="A22" s="5" t="s">
        <v>43</v>
      </c>
      <c r="B22" s="6" t="s">
        <v>13</v>
      </c>
      <c r="C22" s="6" t="s">
        <v>13</v>
      </c>
      <c r="D22" s="6" t="s">
        <v>13</v>
      </c>
      <c r="E22" s="11">
        <v>1.3</v>
      </c>
      <c r="F22" s="11">
        <v>1.7</v>
      </c>
      <c r="G22" s="4" t="s">
        <v>44</v>
      </c>
    </row>
    <row r="23" spans="1:7" ht="18" customHeight="1">
      <c r="A23" s="104" t="s">
        <v>45</v>
      </c>
      <c r="B23" s="99"/>
      <c r="C23" s="99"/>
      <c r="D23" s="99"/>
      <c r="E23" s="99"/>
      <c r="F23" s="99"/>
      <c r="G23" s="100"/>
    </row>
    <row r="24" spans="1:7" ht="15.75" customHeight="1">
      <c r="A24" s="5" t="s">
        <v>46</v>
      </c>
      <c r="B24" s="6" t="s">
        <v>13</v>
      </c>
      <c r="C24" s="6" t="s">
        <v>13</v>
      </c>
      <c r="D24" s="6" t="s">
        <v>13</v>
      </c>
      <c r="E24" s="9">
        <v>841</v>
      </c>
      <c r="F24" s="9">
        <v>779</v>
      </c>
      <c r="G24" s="4" t="s">
        <v>47</v>
      </c>
    </row>
    <row r="25" spans="1:7" ht="15.75" customHeight="1">
      <c r="A25" s="5" t="s">
        <v>48</v>
      </c>
      <c r="B25" s="6" t="s">
        <v>13</v>
      </c>
      <c r="C25" s="9">
        <v>544</v>
      </c>
      <c r="D25" s="9">
        <v>848</v>
      </c>
      <c r="E25" s="9">
        <v>671</v>
      </c>
      <c r="F25" s="9">
        <v>563</v>
      </c>
      <c r="G25" s="4" t="s">
        <v>49</v>
      </c>
    </row>
    <row r="26" spans="1:7" ht="15.75" customHeight="1">
      <c r="A26" s="2" t="s">
        <v>50</v>
      </c>
      <c r="B26" s="3">
        <v>243</v>
      </c>
      <c r="C26" s="3">
        <v>577</v>
      </c>
      <c r="D26" s="3">
        <v>448</v>
      </c>
      <c r="E26" s="3">
        <v>390</v>
      </c>
      <c r="F26" s="3">
        <v>356</v>
      </c>
      <c r="G26" s="4" t="s">
        <v>51</v>
      </c>
    </row>
    <row r="27" spans="1:7" ht="15.75" customHeight="1">
      <c r="A27" s="5" t="s">
        <v>52</v>
      </c>
      <c r="B27" s="6" t="s">
        <v>13</v>
      </c>
      <c r="C27" s="7">
        <v>0.309</v>
      </c>
      <c r="D27" s="7">
        <v>0.27700000000000002</v>
      </c>
      <c r="E27" s="7">
        <v>0.27600000000000002</v>
      </c>
      <c r="F27" s="7">
        <v>0.29399999999999998</v>
      </c>
      <c r="G27" s="4" t="s">
        <v>53</v>
      </c>
    </row>
    <row r="28" spans="1:7" ht="15.75" customHeight="1">
      <c r="A28" s="5" t="s">
        <v>54</v>
      </c>
      <c r="B28" s="6" t="s">
        <v>13</v>
      </c>
      <c r="C28" s="6" t="s">
        <v>13</v>
      </c>
      <c r="D28" s="6" t="s">
        <v>13</v>
      </c>
      <c r="E28" s="7">
        <v>7.9000000000000001E-2</v>
      </c>
      <c r="F28" s="7">
        <v>6.3E-2</v>
      </c>
      <c r="G28" s="4"/>
    </row>
    <row r="29" spans="1:7" ht="15.75" customHeight="1">
      <c r="A29" s="5" t="s">
        <v>55</v>
      </c>
      <c r="B29" s="6" t="s">
        <v>13</v>
      </c>
      <c r="C29" s="6" t="s">
        <v>13</v>
      </c>
      <c r="D29" s="6" t="s">
        <v>13</v>
      </c>
      <c r="E29" s="10">
        <v>1220</v>
      </c>
      <c r="F29" s="9">
        <v>1124</v>
      </c>
      <c r="G29" s="4"/>
    </row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A2:G2"/>
    <mergeCell ref="A4:G4"/>
    <mergeCell ref="A15:G15"/>
    <mergeCell ref="A23:G23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7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4.5" defaultRowHeight="15" customHeight="1"/>
  <cols>
    <col min="1" max="1" width="36" customWidth="1"/>
    <col min="2" max="7" width="13" customWidth="1"/>
    <col min="8" max="8" width="82.33203125" customWidth="1"/>
    <col min="9" max="26" width="8.6640625" customWidth="1"/>
  </cols>
  <sheetData>
    <row r="1" spans="1:8" ht="27.75" customHeight="1">
      <c r="A1" s="105" t="s">
        <v>56</v>
      </c>
      <c r="B1" s="99"/>
      <c r="C1" s="99"/>
      <c r="D1" s="99"/>
      <c r="E1" s="99"/>
      <c r="F1" s="99"/>
      <c r="G1" s="99"/>
      <c r="H1" s="100"/>
    </row>
    <row r="2" spans="1:8" ht="19.5" customHeight="1">
      <c r="A2" s="1" t="s">
        <v>2</v>
      </c>
      <c r="B2" s="1" t="s">
        <v>7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</row>
    <row r="3" spans="1:8" ht="18" customHeight="1">
      <c r="A3" s="103" t="s">
        <v>63</v>
      </c>
      <c r="B3" s="99"/>
      <c r="C3" s="99"/>
      <c r="D3" s="99"/>
      <c r="E3" s="99"/>
      <c r="F3" s="99"/>
      <c r="G3" s="99"/>
      <c r="H3" s="100"/>
    </row>
    <row r="4" spans="1:8">
      <c r="A4" s="2" t="s">
        <v>10</v>
      </c>
      <c r="B4" s="3">
        <v>6140</v>
      </c>
      <c r="C4" s="3">
        <v>6263</v>
      </c>
      <c r="D4" s="3">
        <v>6514</v>
      </c>
      <c r="E4" s="3">
        <v>6872</v>
      </c>
      <c r="F4" s="3">
        <v>7284</v>
      </c>
      <c r="G4" s="3">
        <v>7721</v>
      </c>
      <c r="H4" s="12" t="s">
        <v>64</v>
      </c>
    </row>
    <row r="5" spans="1:8">
      <c r="A5" s="5" t="s">
        <v>12</v>
      </c>
      <c r="B5" s="7">
        <v>-6.5000000000000002E-2</v>
      </c>
      <c r="C5" s="7">
        <f t="shared" ref="C5:G5" si="0">C4/B4-1</f>
        <v>2.0032573289902267E-2</v>
      </c>
      <c r="D5" s="7">
        <f t="shared" si="0"/>
        <v>4.0076640587577872E-2</v>
      </c>
      <c r="E5" s="7">
        <f t="shared" si="0"/>
        <v>5.4958550813632101E-2</v>
      </c>
      <c r="F5" s="7">
        <f t="shared" si="0"/>
        <v>5.9953434225844093E-2</v>
      </c>
      <c r="G5" s="7">
        <f t="shared" si="0"/>
        <v>5.9994508511806766E-2</v>
      </c>
    </row>
    <row r="6" spans="1:8" ht="18" customHeight="1">
      <c r="A6" s="103" t="s">
        <v>65</v>
      </c>
      <c r="B6" s="99"/>
      <c r="C6" s="99"/>
      <c r="D6" s="99"/>
      <c r="E6" s="99"/>
      <c r="F6" s="99"/>
      <c r="G6" s="99"/>
      <c r="H6" s="100"/>
    </row>
    <row r="7" spans="1:8">
      <c r="A7" s="5" t="s">
        <v>66</v>
      </c>
      <c r="B7" s="7">
        <v>0.19700000000000001</v>
      </c>
      <c r="C7" s="7">
        <v>0.2</v>
      </c>
      <c r="D7" s="7">
        <v>0.21</v>
      </c>
      <c r="E7" s="7">
        <v>0.22</v>
      </c>
      <c r="F7" s="7">
        <v>0.23</v>
      </c>
      <c r="G7" s="7">
        <v>0.23499999999999999</v>
      </c>
      <c r="H7" s="12" t="s">
        <v>67</v>
      </c>
    </row>
    <row r="8" spans="1:8">
      <c r="A8" s="5" t="s">
        <v>68</v>
      </c>
      <c r="B8" s="3">
        <f t="shared" ref="B8:G8" si="1">B4*B7</f>
        <v>1209.5800000000002</v>
      </c>
      <c r="C8" s="3">
        <f t="shared" si="1"/>
        <v>1252.6000000000001</v>
      </c>
      <c r="D8" s="3">
        <f t="shared" si="1"/>
        <v>1367.94</v>
      </c>
      <c r="E8" s="3">
        <f t="shared" si="1"/>
        <v>1511.84</v>
      </c>
      <c r="F8" s="3">
        <f t="shared" si="1"/>
        <v>1675.3200000000002</v>
      </c>
      <c r="G8" s="3">
        <f t="shared" si="1"/>
        <v>1814.4349999999999</v>
      </c>
    </row>
    <row r="9" spans="1:8" ht="18" customHeight="1">
      <c r="A9" s="103" t="s">
        <v>9</v>
      </c>
      <c r="B9" s="99"/>
      <c r="C9" s="99"/>
      <c r="D9" s="99"/>
      <c r="E9" s="99"/>
      <c r="F9" s="99"/>
      <c r="G9" s="99"/>
      <c r="H9" s="100"/>
    </row>
    <row r="10" spans="1:8">
      <c r="A10" s="5" t="s">
        <v>69</v>
      </c>
      <c r="B10" s="9">
        <f>B4*0.081</f>
        <v>497.34000000000003</v>
      </c>
      <c r="C10" s="9">
        <f>C4*0.09</f>
        <v>563.66999999999996</v>
      </c>
      <c r="D10" s="9">
        <f>D4*0.08</f>
        <v>521.12</v>
      </c>
      <c r="E10" s="9">
        <f t="shared" ref="E10:G10" si="2">E4*0.07</f>
        <v>481.04</v>
      </c>
      <c r="F10" s="9">
        <f t="shared" si="2"/>
        <v>509.88000000000005</v>
      </c>
      <c r="G10" s="9">
        <f t="shared" si="2"/>
        <v>540.47</v>
      </c>
      <c r="H10" s="12" t="s">
        <v>70</v>
      </c>
    </row>
    <row r="11" spans="1:8">
      <c r="A11" s="2" t="s">
        <v>71</v>
      </c>
      <c r="B11" s="3">
        <f t="shared" ref="B11:G11" si="3">B8-B10</f>
        <v>712.24000000000012</v>
      </c>
      <c r="C11" s="3">
        <f t="shared" si="3"/>
        <v>688.93000000000018</v>
      </c>
      <c r="D11" s="3">
        <f t="shared" si="3"/>
        <v>846.82</v>
      </c>
      <c r="E11" s="3">
        <f t="shared" si="3"/>
        <v>1030.8</v>
      </c>
      <c r="F11" s="3">
        <f t="shared" si="3"/>
        <v>1165.44</v>
      </c>
      <c r="G11" s="3">
        <f t="shared" si="3"/>
        <v>1273.9649999999999</v>
      </c>
      <c r="H11" s="12" t="s">
        <v>72</v>
      </c>
    </row>
    <row r="12" spans="1:8">
      <c r="A12" s="5" t="s">
        <v>24</v>
      </c>
      <c r="B12" s="9">
        <v>156</v>
      </c>
      <c r="C12" s="9">
        <v>150</v>
      </c>
      <c r="D12" s="9">
        <v>148</v>
      </c>
      <c r="E12" s="9">
        <v>146</v>
      </c>
      <c r="F12" s="9">
        <v>144</v>
      </c>
      <c r="G12" s="9">
        <v>142</v>
      </c>
      <c r="H12" s="12" t="s">
        <v>73</v>
      </c>
    </row>
    <row r="13" spans="1:8">
      <c r="A13" s="5" t="s">
        <v>74</v>
      </c>
      <c r="B13" s="7">
        <v>0.24</v>
      </c>
      <c r="C13" s="7">
        <f t="shared" ref="C13:G13" si="4">$B13</f>
        <v>0.24</v>
      </c>
      <c r="D13" s="7">
        <f t="shared" si="4"/>
        <v>0.24</v>
      </c>
      <c r="E13" s="7">
        <f t="shared" si="4"/>
        <v>0.24</v>
      </c>
      <c r="F13" s="7">
        <f t="shared" si="4"/>
        <v>0.24</v>
      </c>
      <c r="G13" s="7">
        <f t="shared" si="4"/>
        <v>0.24</v>
      </c>
      <c r="H13" s="12" t="s">
        <v>75</v>
      </c>
    </row>
    <row r="14" spans="1:8">
      <c r="A14" s="2" t="s">
        <v>26</v>
      </c>
      <c r="B14" s="3">
        <v>381</v>
      </c>
      <c r="C14" s="3">
        <f t="shared" ref="C14:G14" si="5">(C11-C12)*(1-C13)</f>
        <v>409.58680000000015</v>
      </c>
      <c r="D14" s="3">
        <f t="shared" si="5"/>
        <v>531.10320000000002</v>
      </c>
      <c r="E14" s="3">
        <f t="shared" si="5"/>
        <v>672.44799999999998</v>
      </c>
      <c r="F14" s="3">
        <f t="shared" si="5"/>
        <v>776.2944</v>
      </c>
      <c r="G14" s="3">
        <f t="shared" si="5"/>
        <v>860.29339999999991</v>
      </c>
    </row>
    <row r="15" spans="1:8">
      <c r="A15" s="5" t="s">
        <v>28</v>
      </c>
      <c r="B15" s="7">
        <f t="shared" ref="B15:G15" si="6">B14/B4</f>
        <v>6.2052117263843645E-2</v>
      </c>
      <c r="C15" s="7">
        <f t="shared" si="6"/>
        <v>6.5397860450263481E-2</v>
      </c>
      <c r="D15" s="7">
        <f t="shared" si="6"/>
        <v>8.1532575990175007E-2</v>
      </c>
      <c r="E15" s="7">
        <f t="shared" si="6"/>
        <v>9.7853317811408616E-2</v>
      </c>
      <c r="F15" s="7">
        <f t="shared" si="6"/>
        <v>0.10657528830313015</v>
      </c>
      <c r="G15" s="7">
        <f t="shared" si="6"/>
        <v>0.11142253594094029</v>
      </c>
    </row>
    <row r="16" spans="1:8" ht="18" customHeight="1">
      <c r="A16" s="103" t="s">
        <v>76</v>
      </c>
      <c r="B16" s="99"/>
      <c r="C16" s="99"/>
      <c r="D16" s="99"/>
      <c r="E16" s="99"/>
      <c r="F16" s="99"/>
      <c r="G16" s="99"/>
      <c r="H16" s="100"/>
    </row>
    <row r="17" spans="1:8">
      <c r="A17" s="2" t="s">
        <v>48</v>
      </c>
      <c r="B17" s="9">
        <v>563</v>
      </c>
      <c r="C17" s="9">
        <v>490</v>
      </c>
      <c r="D17" s="9">
        <f t="shared" ref="D17:G17" si="7">D4*0.07</f>
        <v>455.98</v>
      </c>
      <c r="E17" s="9">
        <f t="shared" si="7"/>
        <v>481.04</v>
      </c>
      <c r="F17" s="9">
        <f t="shared" si="7"/>
        <v>509.88000000000005</v>
      </c>
      <c r="G17" s="9">
        <f t="shared" si="7"/>
        <v>540.47</v>
      </c>
      <c r="H17" s="12" t="s">
        <v>77</v>
      </c>
    </row>
    <row r="18" spans="1:8">
      <c r="A18" s="5" t="s">
        <v>78</v>
      </c>
      <c r="B18" s="7">
        <f t="shared" ref="B18:G18" si="8">B17/B4</f>
        <v>9.1693811074918571E-2</v>
      </c>
      <c r="C18" s="7">
        <f t="shared" si="8"/>
        <v>7.8237266485709722E-2</v>
      </c>
      <c r="D18" s="13">
        <f t="shared" si="8"/>
        <v>7.0000000000000007E-2</v>
      </c>
      <c r="E18" s="7">
        <f t="shared" si="8"/>
        <v>7.0000000000000007E-2</v>
      </c>
      <c r="F18" s="7">
        <f t="shared" si="8"/>
        <v>7.0000000000000007E-2</v>
      </c>
      <c r="G18" s="7">
        <f t="shared" si="8"/>
        <v>7.0000000000000007E-2</v>
      </c>
    </row>
    <row r="19" spans="1:8" ht="15.75" customHeight="1">
      <c r="A19" s="2" t="s">
        <v>79</v>
      </c>
      <c r="B19" s="3">
        <f>B11 * (1-0.24) + B10 - B17 - (1124-1220)</f>
        <v>571.64240000000018</v>
      </c>
      <c r="C19" s="14">
        <f t="shared" ref="C19:G19" si="9">C11*(1-0.24)+C10-C17-(C20-B20)</f>
        <v>499.59179999999992</v>
      </c>
      <c r="D19" s="15">
        <f t="shared" si="9"/>
        <v>737.94620000000009</v>
      </c>
      <c r="E19" s="16">
        <f t="shared" si="9"/>
        <v>717.89400000000001</v>
      </c>
      <c r="F19" s="3">
        <f t="shared" si="9"/>
        <v>810.33840000000009</v>
      </c>
      <c r="G19" s="3">
        <f t="shared" si="9"/>
        <v>888.24239999999986</v>
      </c>
      <c r="H19" s="12"/>
    </row>
    <row r="20" spans="1:8" ht="15.75" customHeight="1">
      <c r="A20" s="5" t="s">
        <v>80</v>
      </c>
      <c r="B20" s="9">
        <f>B4 * 0.183</f>
        <v>1123.6199999999999</v>
      </c>
      <c r="C20" s="9">
        <f>C4 * 0.195</f>
        <v>1221.2850000000001</v>
      </c>
      <c r="D20" s="17">
        <f t="shared" ref="D20:G20" si="10">D4 * 0.183</f>
        <v>1192.0619999999999</v>
      </c>
      <c r="E20" s="9">
        <f t="shared" si="10"/>
        <v>1257.576</v>
      </c>
      <c r="F20" s="9">
        <f t="shared" si="10"/>
        <v>1332.972</v>
      </c>
      <c r="G20" s="9">
        <f t="shared" si="10"/>
        <v>1412.943</v>
      </c>
      <c r="H20" s="12" t="s">
        <v>81</v>
      </c>
    </row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5">
    <mergeCell ref="A1:H1"/>
    <mergeCell ref="A3:H3"/>
    <mergeCell ref="A6:H6"/>
    <mergeCell ref="A9:H9"/>
    <mergeCell ref="A16:H16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3:H46"/>
  <sheetViews>
    <sheetView workbookViewId="0"/>
  </sheetViews>
  <sheetFormatPr baseColWidth="10" defaultColWidth="14.5" defaultRowHeight="15" customHeight="1"/>
  <cols>
    <col min="1" max="1" width="38.6640625" customWidth="1"/>
  </cols>
  <sheetData>
    <row r="3" spans="1:8">
      <c r="A3" s="107" t="s">
        <v>82</v>
      </c>
      <c r="B3" s="99"/>
      <c r="C3" s="99"/>
      <c r="D3" s="99"/>
      <c r="E3" s="99"/>
      <c r="F3" s="99"/>
      <c r="G3" s="99"/>
      <c r="H3" s="100"/>
    </row>
    <row r="4" spans="1:8">
      <c r="A4" s="18" t="s">
        <v>2</v>
      </c>
      <c r="B4" s="18" t="s">
        <v>7</v>
      </c>
      <c r="C4" s="18" t="s">
        <v>57</v>
      </c>
      <c r="D4" s="18" t="s">
        <v>58</v>
      </c>
      <c r="E4" s="18" t="s">
        <v>59</v>
      </c>
      <c r="F4" s="18" t="s">
        <v>60</v>
      </c>
      <c r="G4" s="18" t="s">
        <v>61</v>
      </c>
      <c r="H4" s="18"/>
    </row>
    <row r="5" spans="1:8">
      <c r="A5" s="107" t="s">
        <v>63</v>
      </c>
      <c r="B5" s="99"/>
      <c r="C5" s="99"/>
      <c r="D5" s="99"/>
      <c r="E5" s="99"/>
      <c r="F5" s="99"/>
      <c r="G5" s="99"/>
      <c r="H5" s="100"/>
    </row>
    <row r="6" spans="1:8">
      <c r="A6" s="19" t="s">
        <v>10</v>
      </c>
      <c r="B6" s="20">
        <v>6140000000</v>
      </c>
      <c r="C6" s="20">
        <f t="shared" ref="C6:G6" si="0">B6 * (1+C7)</f>
        <v>6170699999.999999</v>
      </c>
      <c r="D6" s="20">
        <f t="shared" si="0"/>
        <v>6294113999.999999</v>
      </c>
      <c r="E6" s="20">
        <f t="shared" si="0"/>
        <v>6451466849.9999981</v>
      </c>
      <c r="F6" s="20">
        <f t="shared" si="0"/>
        <v>6645010855.4999981</v>
      </c>
      <c r="G6" s="20">
        <f t="shared" si="0"/>
        <v>6910811289.7199984</v>
      </c>
      <c r="H6" s="21"/>
    </row>
    <row r="7" spans="1:8">
      <c r="A7" s="22" t="s">
        <v>12</v>
      </c>
      <c r="B7" s="13">
        <v>-6.5000000000000002E-2</v>
      </c>
      <c r="C7" s="13">
        <v>5.0000000000000001E-3</v>
      </c>
      <c r="D7" s="13">
        <v>0.02</v>
      </c>
      <c r="E7" s="13">
        <v>2.5000000000000001E-2</v>
      </c>
      <c r="F7" s="13">
        <v>0.03</v>
      </c>
      <c r="G7" s="13">
        <v>0.04</v>
      </c>
    </row>
    <row r="8" spans="1:8">
      <c r="A8" s="107" t="s">
        <v>65</v>
      </c>
      <c r="B8" s="99"/>
      <c r="C8" s="99"/>
      <c r="D8" s="99"/>
      <c r="E8" s="99"/>
      <c r="F8" s="99"/>
      <c r="G8" s="100"/>
      <c r="H8" s="23"/>
    </row>
    <row r="9" spans="1:8">
      <c r="A9" s="24" t="s">
        <v>66</v>
      </c>
      <c r="B9" s="25">
        <v>0.19700000000000001</v>
      </c>
      <c r="C9" s="25">
        <v>0.17</v>
      </c>
      <c r="D9" s="25">
        <v>0.17499999999999999</v>
      </c>
      <c r="E9" s="25">
        <v>0.18</v>
      </c>
      <c r="F9" s="25">
        <v>0.185</v>
      </c>
      <c r="G9" s="25">
        <v>0.19500000000000001</v>
      </c>
      <c r="H9" s="21"/>
    </row>
    <row r="10" spans="1:8">
      <c r="A10" s="26" t="s">
        <v>68</v>
      </c>
      <c r="B10" s="27">
        <f>B6*B9</f>
        <v>1209580000</v>
      </c>
      <c r="C10" s="27">
        <f t="shared" ref="C10:G10" si="1">C9*C6</f>
        <v>1049018999.9999999</v>
      </c>
      <c r="D10" s="27">
        <f t="shared" si="1"/>
        <v>1101469949.9999998</v>
      </c>
      <c r="E10" s="27">
        <f t="shared" si="1"/>
        <v>1161264032.9999995</v>
      </c>
      <c r="F10" s="27">
        <f t="shared" si="1"/>
        <v>1229327008.2674997</v>
      </c>
      <c r="G10" s="27">
        <f t="shared" si="1"/>
        <v>1347608201.4953997</v>
      </c>
    </row>
    <row r="11" spans="1:8">
      <c r="A11" s="107" t="s">
        <v>9</v>
      </c>
      <c r="B11" s="99"/>
      <c r="C11" s="99"/>
      <c r="D11" s="99"/>
      <c r="E11" s="99"/>
      <c r="F11" s="99"/>
      <c r="G11" s="100"/>
      <c r="H11" s="23"/>
    </row>
    <row r="12" spans="1:8">
      <c r="A12" s="24" t="s">
        <v>83</v>
      </c>
      <c r="B12" s="17">
        <f t="shared" ref="B12:G12" si="2">B6*B13</f>
        <v>497340000</v>
      </c>
      <c r="C12" s="17">
        <f t="shared" si="2"/>
        <v>555362999.99999988</v>
      </c>
      <c r="D12" s="17">
        <f t="shared" si="2"/>
        <v>566470259.99999988</v>
      </c>
      <c r="E12" s="17">
        <f t="shared" si="2"/>
        <v>516117347.99999988</v>
      </c>
      <c r="F12" s="17">
        <f t="shared" si="2"/>
        <v>531600868.43999988</v>
      </c>
      <c r="G12" s="17">
        <f t="shared" si="2"/>
        <v>552864903.17759991</v>
      </c>
      <c r="H12" s="21"/>
    </row>
    <row r="13" spans="1:8">
      <c r="A13" s="24" t="s">
        <v>84</v>
      </c>
      <c r="B13" s="25">
        <v>8.1000000000000003E-2</v>
      </c>
      <c r="C13" s="25">
        <v>0.09</v>
      </c>
      <c r="D13" s="25">
        <v>0.09</v>
      </c>
      <c r="E13" s="25">
        <v>0.08</v>
      </c>
      <c r="F13" s="25">
        <v>0.08</v>
      </c>
      <c r="G13" s="25">
        <v>0.08</v>
      </c>
      <c r="H13" s="28"/>
    </row>
    <row r="14" spans="1:8">
      <c r="A14" s="2" t="s">
        <v>71</v>
      </c>
      <c r="B14" s="3">
        <f t="shared" ref="B14:G14" si="3">B10-B12</f>
        <v>712240000</v>
      </c>
      <c r="C14" s="3">
        <f t="shared" si="3"/>
        <v>493656000</v>
      </c>
      <c r="D14" s="3">
        <f t="shared" si="3"/>
        <v>534999689.99999988</v>
      </c>
      <c r="E14" s="3">
        <f t="shared" si="3"/>
        <v>645146684.99999964</v>
      </c>
      <c r="F14" s="3">
        <f t="shared" si="3"/>
        <v>697726139.82749987</v>
      </c>
      <c r="G14" s="3">
        <f t="shared" si="3"/>
        <v>794743298.31779981</v>
      </c>
      <c r="H14" s="12"/>
    </row>
    <row r="15" spans="1:8">
      <c r="A15" s="5" t="s">
        <v>24</v>
      </c>
      <c r="B15" s="9">
        <v>156000000</v>
      </c>
      <c r="C15" s="9">
        <v>156000000</v>
      </c>
      <c r="D15" s="9">
        <v>153000000</v>
      </c>
      <c r="E15" s="9">
        <v>151000000</v>
      </c>
      <c r="F15" s="9">
        <v>150000000</v>
      </c>
      <c r="G15" s="9">
        <v>149000000</v>
      </c>
      <c r="H15" s="12"/>
    </row>
    <row r="16" spans="1:8">
      <c r="A16" s="5" t="s">
        <v>74</v>
      </c>
      <c r="B16" s="7">
        <v>0.24</v>
      </c>
      <c r="C16" s="7">
        <v>0.24</v>
      </c>
      <c r="D16" s="7">
        <v>0.24</v>
      </c>
      <c r="E16" s="7">
        <v>0.24</v>
      </c>
      <c r="F16" s="7">
        <v>0.24</v>
      </c>
      <c r="G16" s="7">
        <v>0.24</v>
      </c>
      <c r="H16" s="12"/>
    </row>
    <row r="17" spans="1:8">
      <c r="A17" s="2" t="s">
        <v>26</v>
      </c>
      <c r="B17" s="3">
        <v>381000000</v>
      </c>
      <c r="C17" s="3">
        <f t="shared" ref="C17:G17" si="4">(C14-C15)*(1-C16)</f>
        <v>256618560</v>
      </c>
      <c r="D17" s="3">
        <f t="shared" si="4"/>
        <v>290319764.39999992</v>
      </c>
      <c r="E17" s="3">
        <f t="shared" si="4"/>
        <v>375551480.59999973</v>
      </c>
      <c r="F17" s="3">
        <f t="shared" si="4"/>
        <v>416271866.26889992</v>
      </c>
      <c r="G17" s="3">
        <f t="shared" si="4"/>
        <v>490764906.72152787</v>
      </c>
    </row>
    <row r="18" spans="1:8">
      <c r="A18" s="22" t="s">
        <v>28</v>
      </c>
      <c r="B18" s="13">
        <f t="shared" ref="B18:G18" si="5">B17/B6</f>
        <v>6.2052117263843645E-2</v>
      </c>
      <c r="C18" s="13">
        <f t="shared" si="5"/>
        <v>4.1586620642714768E-2</v>
      </c>
      <c r="D18" s="13">
        <f t="shared" si="5"/>
        <v>4.6125596771841117E-2</v>
      </c>
      <c r="E18" s="13">
        <f t="shared" si="5"/>
        <v>5.8211797306220343E-2</v>
      </c>
      <c r="F18" s="13">
        <f t="shared" si="5"/>
        <v>6.264427181851126E-2</v>
      </c>
      <c r="G18" s="13">
        <f t="shared" si="5"/>
        <v>7.101408013434729E-2</v>
      </c>
    </row>
    <row r="19" spans="1:8">
      <c r="A19" s="107" t="s">
        <v>76</v>
      </c>
      <c r="B19" s="99"/>
      <c r="C19" s="99"/>
      <c r="D19" s="99"/>
      <c r="E19" s="99"/>
      <c r="F19" s="99"/>
      <c r="G19" s="100"/>
      <c r="H19" s="23"/>
    </row>
    <row r="20" spans="1:8">
      <c r="A20" s="24" t="s">
        <v>48</v>
      </c>
      <c r="B20" s="17">
        <v>563000000</v>
      </c>
      <c r="C20" s="17">
        <f t="shared" ref="C20:G20" si="6">C6*C21</f>
        <v>493655999.99999994</v>
      </c>
      <c r="D20" s="17">
        <f t="shared" si="6"/>
        <v>503529119.99999994</v>
      </c>
      <c r="E20" s="17">
        <f t="shared" si="6"/>
        <v>516117347.99999988</v>
      </c>
      <c r="F20" s="17">
        <f t="shared" si="6"/>
        <v>531600868.43999988</v>
      </c>
      <c r="G20" s="17">
        <f t="shared" si="6"/>
        <v>552864903.17759991</v>
      </c>
      <c r="H20" s="21"/>
    </row>
    <row r="21" spans="1:8">
      <c r="A21" s="5" t="s">
        <v>78</v>
      </c>
      <c r="B21" s="7">
        <f>B20/B6</f>
        <v>9.1693811074918571E-2</v>
      </c>
      <c r="C21" s="7">
        <v>0.08</v>
      </c>
      <c r="D21" s="7">
        <v>0.08</v>
      </c>
      <c r="E21" s="7">
        <v>0.08</v>
      </c>
      <c r="F21" s="7">
        <v>0.08</v>
      </c>
      <c r="G21" s="7">
        <v>0.08</v>
      </c>
    </row>
    <row r="22" spans="1:8">
      <c r="A22" s="2" t="s">
        <v>79</v>
      </c>
      <c r="B22" s="3">
        <f>B14*(1-B16)+B12-B20-(B23-1220000000)</f>
        <v>572022400</v>
      </c>
      <c r="C22" s="3">
        <f t="shared" ref="C22:G22" si="7">C14*(1-C16)+C12-C20-(C23-B23)</f>
        <v>357219060.00000018</v>
      </c>
      <c r="D22" s="3">
        <f t="shared" si="7"/>
        <v>521004542.39999992</v>
      </c>
      <c r="E22" s="3">
        <f t="shared" si="7"/>
        <v>461515909.04999983</v>
      </c>
      <c r="F22" s="3">
        <f t="shared" si="7"/>
        <v>494853313.26239985</v>
      </c>
      <c r="G22" s="3">
        <f t="shared" si="7"/>
        <v>555363427.25926781</v>
      </c>
      <c r="H22" s="12"/>
    </row>
    <row r="23" spans="1:8">
      <c r="A23" s="5" t="s">
        <v>85</v>
      </c>
      <c r="B23" s="9">
        <f>B6 * 0.183</f>
        <v>1123620000</v>
      </c>
      <c r="C23" s="9">
        <f>C6*0.195</f>
        <v>1203286499.9999998</v>
      </c>
      <c r="D23" s="9">
        <f t="shared" ref="D23:G23" si="8">D6 * 0.183</f>
        <v>1151822861.9999998</v>
      </c>
      <c r="E23" s="9">
        <f t="shared" si="8"/>
        <v>1180618433.5499997</v>
      </c>
      <c r="F23" s="9">
        <f t="shared" si="8"/>
        <v>1216036986.5564997</v>
      </c>
      <c r="G23" s="9">
        <f t="shared" si="8"/>
        <v>1264678466.0187597</v>
      </c>
    </row>
    <row r="26" spans="1:8">
      <c r="A26" s="106" t="s">
        <v>86</v>
      </c>
      <c r="B26" s="99"/>
      <c r="C26" s="99"/>
      <c r="D26" s="99"/>
      <c r="E26" s="99"/>
      <c r="F26" s="99"/>
      <c r="G26" s="99"/>
      <c r="H26" s="100"/>
    </row>
    <row r="27" spans="1:8">
      <c r="A27" s="29" t="s">
        <v>2</v>
      </c>
      <c r="B27" s="29" t="s">
        <v>7</v>
      </c>
      <c r="C27" s="29" t="s">
        <v>57</v>
      </c>
      <c r="D27" s="29" t="s">
        <v>58</v>
      </c>
      <c r="E27" s="29" t="s">
        <v>59</v>
      </c>
      <c r="F27" s="29" t="s">
        <v>60</v>
      </c>
      <c r="G27" s="29" t="s">
        <v>61</v>
      </c>
      <c r="H27" s="29"/>
    </row>
    <row r="28" spans="1:8">
      <c r="A28" s="106" t="s">
        <v>63</v>
      </c>
      <c r="B28" s="99"/>
      <c r="C28" s="99"/>
      <c r="D28" s="99"/>
      <c r="E28" s="99"/>
      <c r="F28" s="99"/>
      <c r="G28" s="99"/>
      <c r="H28" s="100"/>
    </row>
    <row r="29" spans="1:8">
      <c r="A29" s="19" t="s">
        <v>10</v>
      </c>
      <c r="B29" s="20">
        <v>6140000000</v>
      </c>
      <c r="C29" s="20">
        <f t="shared" ref="C29:G29" si="9">B29*(1+C30)</f>
        <v>6324200000</v>
      </c>
      <c r="D29" s="20">
        <f t="shared" si="9"/>
        <v>6577168000</v>
      </c>
      <c r="E29" s="20">
        <f t="shared" si="9"/>
        <v>6971798080</v>
      </c>
      <c r="F29" s="20">
        <f t="shared" si="9"/>
        <v>7459823945.6000004</v>
      </c>
      <c r="G29" s="20">
        <f t="shared" si="9"/>
        <v>8056609861.2480011</v>
      </c>
      <c r="H29" s="21"/>
    </row>
    <row r="30" spans="1:8">
      <c r="A30" s="22" t="s">
        <v>12</v>
      </c>
      <c r="B30" s="13">
        <v>-6.5000000000000002E-2</v>
      </c>
      <c r="C30" s="13">
        <v>0.03</v>
      </c>
      <c r="D30" s="13">
        <v>0.04</v>
      </c>
      <c r="E30" s="13">
        <v>0.06</v>
      </c>
      <c r="F30" s="13">
        <v>7.0000000000000007E-2</v>
      </c>
      <c r="G30" s="13">
        <v>0.08</v>
      </c>
      <c r="H30" s="30"/>
    </row>
    <row r="31" spans="1:8">
      <c r="A31" s="106" t="s">
        <v>65</v>
      </c>
      <c r="B31" s="99"/>
      <c r="C31" s="99"/>
      <c r="D31" s="99"/>
      <c r="E31" s="99"/>
      <c r="F31" s="99"/>
      <c r="G31" s="100"/>
      <c r="H31" s="31"/>
    </row>
    <row r="32" spans="1:8">
      <c r="A32" s="24" t="s">
        <v>66</v>
      </c>
      <c r="B32" s="25">
        <v>0.19700000000000001</v>
      </c>
      <c r="C32" s="25">
        <v>0.2</v>
      </c>
      <c r="D32" s="25">
        <v>0.21</v>
      </c>
      <c r="E32" s="25">
        <v>0.22</v>
      </c>
      <c r="F32" s="25">
        <v>0.23</v>
      </c>
      <c r="G32" s="25">
        <v>0.24</v>
      </c>
      <c r="H32" s="21" t="s">
        <v>87</v>
      </c>
    </row>
    <row r="33" spans="1:8">
      <c r="A33" s="26" t="s">
        <v>68</v>
      </c>
      <c r="B33" s="27">
        <f t="shared" ref="B33:G33" si="10">B29*B32</f>
        <v>1209580000</v>
      </c>
      <c r="C33" s="27">
        <f t="shared" si="10"/>
        <v>1264840000</v>
      </c>
      <c r="D33" s="27">
        <f t="shared" si="10"/>
        <v>1381205280</v>
      </c>
      <c r="E33" s="27">
        <f t="shared" si="10"/>
        <v>1533795577.5999999</v>
      </c>
      <c r="F33" s="27">
        <f t="shared" si="10"/>
        <v>1715759507.4880002</v>
      </c>
      <c r="G33" s="27">
        <f t="shared" si="10"/>
        <v>1933586366.6995201</v>
      </c>
    </row>
    <row r="34" spans="1:8">
      <c r="A34" s="106" t="s">
        <v>9</v>
      </c>
      <c r="B34" s="99"/>
      <c r="C34" s="99"/>
      <c r="D34" s="99"/>
      <c r="E34" s="99"/>
      <c r="F34" s="99"/>
      <c r="G34" s="100"/>
      <c r="H34" s="31"/>
    </row>
    <row r="35" spans="1:8">
      <c r="A35" s="24" t="s">
        <v>83</v>
      </c>
      <c r="B35" s="17">
        <f>B29*0.081</f>
        <v>497340000</v>
      </c>
      <c r="C35" s="17">
        <f t="shared" ref="C35:G35" si="11">C29*C36</f>
        <v>569178000</v>
      </c>
      <c r="D35" s="17">
        <f t="shared" si="11"/>
        <v>591945120</v>
      </c>
      <c r="E35" s="17">
        <f t="shared" si="11"/>
        <v>557743846.39999998</v>
      </c>
      <c r="F35" s="17">
        <f t="shared" si="11"/>
        <v>596785915.648</v>
      </c>
      <c r="G35" s="17">
        <f t="shared" si="11"/>
        <v>644528788.89984012</v>
      </c>
      <c r="H35" s="21"/>
    </row>
    <row r="36" spans="1:8">
      <c r="A36" s="24" t="s">
        <v>84</v>
      </c>
      <c r="B36" s="25">
        <v>8.1000000000000003E-2</v>
      </c>
      <c r="C36" s="25">
        <v>0.09</v>
      </c>
      <c r="D36" s="25">
        <v>0.09</v>
      </c>
      <c r="E36" s="25">
        <v>0.08</v>
      </c>
      <c r="F36" s="25">
        <v>0.08</v>
      </c>
      <c r="G36" s="25">
        <v>0.08</v>
      </c>
      <c r="H36" s="21"/>
    </row>
    <row r="37" spans="1:8">
      <c r="A37" s="2" t="s">
        <v>71</v>
      </c>
      <c r="B37" s="3">
        <f t="shared" ref="B37:G37" si="12">B33-B35</f>
        <v>712240000</v>
      </c>
      <c r="C37" s="3">
        <f t="shared" si="12"/>
        <v>695662000</v>
      </c>
      <c r="D37" s="3">
        <f t="shared" si="12"/>
        <v>789260160</v>
      </c>
      <c r="E37" s="3">
        <f t="shared" si="12"/>
        <v>976051731.19999993</v>
      </c>
      <c r="F37" s="3">
        <f t="shared" si="12"/>
        <v>1118973591.8400002</v>
      </c>
      <c r="G37" s="3">
        <f t="shared" si="12"/>
        <v>1289057577.79968</v>
      </c>
      <c r="H37" s="12"/>
    </row>
    <row r="38" spans="1:8">
      <c r="A38" s="5" t="s">
        <v>24</v>
      </c>
      <c r="B38" s="9">
        <v>156000000</v>
      </c>
      <c r="C38" s="9">
        <v>145000000</v>
      </c>
      <c r="D38" s="9">
        <v>143000000</v>
      </c>
      <c r="E38" s="9">
        <v>138000000</v>
      </c>
      <c r="F38" s="9">
        <v>134000000</v>
      </c>
      <c r="G38" s="9">
        <v>130000000</v>
      </c>
      <c r="H38" s="32"/>
    </row>
    <row r="39" spans="1:8">
      <c r="A39" s="5" t="s">
        <v>74</v>
      </c>
      <c r="B39" s="7">
        <v>0.24</v>
      </c>
      <c r="C39" s="7">
        <v>0.24</v>
      </c>
      <c r="D39" s="7">
        <v>0.24</v>
      </c>
      <c r="E39" s="7">
        <v>0.24</v>
      </c>
      <c r="F39" s="7">
        <v>0.24</v>
      </c>
      <c r="G39" s="7">
        <v>0.24</v>
      </c>
      <c r="H39" s="12"/>
    </row>
    <row r="40" spans="1:8">
      <c r="A40" s="2" t="s">
        <v>26</v>
      </c>
      <c r="B40" s="3">
        <v>381000000</v>
      </c>
      <c r="C40" s="3">
        <f t="shared" ref="C40:G40" si="13">(C37-C38)*(1-C39)</f>
        <v>418503120</v>
      </c>
      <c r="D40" s="3">
        <f t="shared" si="13"/>
        <v>491157721.60000002</v>
      </c>
      <c r="E40" s="3">
        <f t="shared" si="13"/>
        <v>636919315.71200001</v>
      </c>
      <c r="F40" s="3">
        <f t="shared" si="13"/>
        <v>748579929.79840016</v>
      </c>
      <c r="G40" s="3">
        <f t="shared" si="13"/>
        <v>880883759.12775683</v>
      </c>
    </row>
    <row r="41" spans="1:8">
      <c r="A41" s="22" t="s">
        <v>28</v>
      </c>
      <c r="B41" s="13">
        <f t="shared" ref="B41:G41" si="14">B40/B29</f>
        <v>6.2052117263843645E-2</v>
      </c>
      <c r="C41" s="13">
        <f t="shared" si="14"/>
        <v>6.6174871129945287E-2</v>
      </c>
      <c r="D41" s="13">
        <f t="shared" si="14"/>
        <v>7.4676170899086056E-2</v>
      </c>
      <c r="E41" s="13">
        <f t="shared" si="14"/>
        <v>9.1356535057882798E-2</v>
      </c>
      <c r="F41" s="13">
        <f t="shared" si="14"/>
        <v>0.10034820328969456</v>
      </c>
      <c r="G41" s="13">
        <f t="shared" si="14"/>
        <v>0.10933677741611586</v>
      </c>
    </row>
    <row r="42" spans="1:8">
      <c r="A42" s="106" t="s">
        <v>76</v>
      </c>
      <c r="B42" s="99"/>
      <c r="C42" s="99"/>
      <c r="D42" s="99"/>
      <c r="E42" s="99"/>
      <c r="F42" s="99"/>
      <c r="G42" s="100"/>
      <c r="H42" s="31"/>
    </row>
    <row r="43" spans="1:8">
      <c r="A43" s="19" t="s">
        <v>48</v>
      </c>
      <c r="B43" s="20">
        <v>563000000</v>
      </c>
      <c r="C43" s="20">
        <f t="shared" ref="C43:G43" si="15">C29*C44</f>
        <v>505936000</v>
      </c>
      <c r="D43" s="20">
        <f t="shared" si="15"/>
        <v>526173440</v>
      </c>
      <c r="E43" s="20">
        <f t="shared" si="15"/>
        <v>557743846.39999998</v>
      </c>
      <c r="F43" s="20">
        <f t="shared" si="15"/>
        <v>596785915.648</v>
      </c>
      <c r="G43" s="20">
        <f t="shared" si="15"/>
        <v>644528788.89984012</v>
      </c>
      <c r="H43" s="21"/>
    </row>
    <row r="44" spans="1:8">
      <c r="A44" s="5" t="s">
        <v>78</v>
      </c>
      <c r="B44" s="7">
        <f>B43/B29</f>
        <v>9.1693811074918571E-2</v>
      </c>
      <c r="C44" s="7">
        <v>0.08</v>
      </c>
      <c r="D44" s="7">
        <v>0.08</v>
      </c>
      <c r="E44" s="7">
        <v>0.08</v>
      </c>
      <c r="F44" s="7">
        <v>0.08</v>
      </c>
      <c r="G44" s="7">
        <v>0.08</v>
      </c>
    </row>
    <row r="45" spans="1:8">
      <c r="A45" s="2" t="s">
        <v>79</v>
      </c>
      <c r="B45" s="3">
        <f>B37*(1-0.24)+B35-B43-(1124-1220)</f>
        <v>475642496</v>
      </c>
      <c r="C45" s="14">
        <f>C37*(1-0.24)+C35-C43-(C46-B46)</f>
        <v>482346120</v>
      </c>
      <c r="D45" s="14">
        <f>D37*(0.76)+D35-D43-(D46-C46)</f>
        <v>695206657.5999999</v>
      </c>
      <c r="E45" s="14">
        <f t="shared" ref="E45:G45" si="16">E37*(1-0.24)+E35-E43-(E46-D46)</f>
        <v>669582011.07200015</v>
      </c>
      <c r="F45" s="14">
        <f t="shared" si="16"/>
        <v>761111196.39359999</v>
      </c>
      <c r="G45" s="14">
        <f t="shared" si="16"/>
        <v>870471936.56417274</v>
      </c>
      <c r="H45" s="12"/>
    </row>
    <row r="46" spans="1:8">
      <c r="A46" s="5" t="s">
        <v>88</v>
      </c>
      <c r="B46" s="9">
        <f>B29 * 0.183</f>
        <v>1123620000</v>
      </c>
      <c r="C46" s="9">
        <f>C29*0.195</f>
        <v>1233219000</v>
      </c>
      <c r="D46" s="17">
        <f t="shared" ref="D46:G46" si="17">D29 * 0.183</f>
        <v>1203621744</v>
      </c>
      <c r="E46" s="9">
        <f t="shared" si="17"/>
        <v>1275839048.6399999</v>
      </c>
      <c r="F46" s="9">
        <f t="shared" si="17"/>
        <v>1365147782.0448</v>
      </c>
      <c r="G46" s="9">
        <f t="shared" si="17"/>
        <v>1474359604.6083841</v>
      </c>
    </row>
  </sheetData>
  <mergeCells count="10">
    <mergeCell ref="A31:G31"/>
    <mergeCell ref="A34:G34"/>
    <mergeCell ref="A42:G42"/>
    <mergeCell ref="A3:H3"/>
    <mergeCell ref="A5:H5"/>
    <mergeCell ref="A8:G8"/>
    <mergeCell ref="A11:G11"/>
    <mergeCell ref="A19:G19"/>
    <mergeCell ref="A26:H26"/>
    <mergeCell ref="A28:H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J43"/>
  <sheetViews>
    <sheetView workbookViewId="0">
      <selection activeCell="E12" sqref="E12"/>
    </sheetView>
  </sheetViews>
  <sheetFormatPr baseColWidth="10" defaultColWidth="14.5" defaultRowHeight="15" customHeight="1"/>
  <cols>
    <col min="1" max="1" width="32.6640625" customWidth="1"/>
    <col min="8" max="8" width="47.6640625" customWidth="1"/>
    <col min="9" max="9" width="27.5" customWidth="1"/>
  </cols>
  <sheetData>
    <row r="2" spans="1:10">
      <c r="A2" s="107" t="s">
        <v>82</v>
      </c>
      <c r="B2" s="99"/>
      <c r="C2" s="99"/>
      <c r="D2" s="99"/>
      <c r="E2" s="99"/>
      <c r="F2" s="99"/>
      <c r="G2" s="100"/>
      <c r="H2" s="33" t="s">
        <v>89</v>
      </c>
      <c r="I2" s="34">
        <f>(J4*I6) + (J5*I8*(1-I3))</f>
        <v>7.9982658393393413E-2</v>
      </c>
    </row>
    <row r="3" spans="1:10">
      <c r="A3" s="18" t="s">
        <v>2</v>
      </c>
      <c r="B3" s="18" t="s">
        <v>7</v>
      </c>
      <c r="C3" s="18" t="s">
        <v>57</v>
      </c>
      <c r="D3" s="18" t="s">
        <v>58</v>
      </c>
      <c r="E3" s="18" t="s">
        <v>59</v>
      </c>
      <c r="F3" s="18" t="s">
        <v>60</v>
      </c>
      <c r="G3" s="18" t="s">
        <v>61</v>
      </c>
      <c r="H3" s="35" t="s">
        <v>90</v>
      </c>
      <c r="I3" s="36">
        <v>0.24</v>
      </c>
    </row>
    <row r="4" spans="1:10">
      <c r="A4" s="107" t="s">
        <v>63</v>
      </c>
      <c r="B4" s="99"/>
      <c r="C4" s="99"/>
      <c r="D4" s="99"/>
      <c r="E4" s="99"/>
      <c r="F4" s="99"/>
      <c r="G4" s="100"/>
      <c r="H4" s="37" t="s">
        <v>91</v>
      </c>
      <c r="I4" s="38">
        <f>I13*I12</f>
        <v>5857002946.2799997</v>
      </c>
      <c r="J4" s="30">
        <f>I4/(I5+I4)</f>
        <v>0.67430358733511708</v>
      </c>
    </row>
    <row r="5" spans="1:10">
      <c r="A5" s="19" t="s">
        <v>10</v>
      </c>
      <c r="B5" s="20">
        <v>6140000000</v>
      </c>
      <c r="C5" s="20">
        <f t="shared" ref="C5:G5" si="0">B5 * (1+C6)</f>
        <v>6170699999.999999</v>
      </c>
      <c r="D5" s="20">
        <f t="shared" si="0"/>
        <v>6294113999.999999</v>
      </c>
      <c r="E5" s="20">
        <f t="shared" si="0"/>
        <v>6451466849.9999981</v>
      </c>
      <c r="F5" s="20">
        <f t="shared" si="0"/>
        <v>6645010855.4999981</v>
      </c>
      <c r="G5" s="20">
        <f t="shared" si="0"/>
        <v>6910811289.7199984</v>
      </c>
      <c r="H5" s="37" t="s">
        <v>92</v>
      </c>
      <c r="I5" s="38">
        <v>2829000000</v>
      </c>
      <c r="J5" s="30">
        <f>I5/(I5+I4)</f>
        <v>0.32569641266488297</v>
      </c>
    </row>
    <row r="6" spans="1:10">
      <c r="A6" s="22" t="s">
        <v>12</v>
      </c>
      <c r="B6" s="13">
        <v>-6.5000000000000002E-2</v>
      </c>
      <c r="C6" s="13">
        <v>5.0000000000000001E-3</v>
      </c>
      <c r="D6" s="13">
        <v>0.02</v>
      </c>
      <c r="E6" s="13">
        <v>2.5000000000000001E-2</v>
      </c>
      <c r="F6" s="13">
        <v>0.03</v>
      </c>
      <c r="G6" s="13">
        <v>0.04</v>
      </c>
      <c r="H6" s="35" t="s">
        <v>93</v>
      </c>
      <c r="I6" s="39">
        <f>I9+I10*I11</f>
        <v>0.10323418581176455</v>
      </c>
    </row>
    <row r="7" spans="1:10">
      <c r="A7" s="107" t="s">
        <v>65</v>
      </c>
      <c r="B7" s="99"/>
      <c r="C7" s="99"/>
      <c r="D7" s="99"/>
      <c r="E7" s="99"/>
      <c r="F7" s="99"/>
      <c r="G7" s="100"/>
      <c r="H7" s="37" t="s">
        <v>93</v>
      </c>
      <c r="I7" s="39">
        <f>I6</f>
        <v>0.10323418581176455</v>
      </c>
    </row>
    <row r="8" spans="1:10">
      <c r="A8" s="24" t="s">
        <v>66</v>
      </c>
      <c r="B8" s="25">
        <v>0.19700000000000001</v>
      </c>
      <c r="C8" s="25">
        <v>0.17</v>
      </c>
      <c r="D8" s="25">
        <v>0.17499999999999999</v>
      </c>
      <c r="E8" s="25">
        <v>0.18</v>
      </c>
      <c r="F8" s="25">
        <v>0.19</v>
      </c>
      <c r="G8" s="25">
        <v>0.19500000000000001</v>
      </c>
      <c r="H8" s="37" t="s">
        <v>94</v>
      </c>
      <c r="I8" s="39">
        <v>4.19E-2</v>
      </c>
    </row>
    <row r="9" spans="1:10">
      <c r="A9" s="26" t="s">
        <v>68</v>
      </c>
      <c r="B9" s="27">
        <f>B5*B8</f>
        <v>1209580000</v>
      </c>
      <c r="C9" s="27">
        <f t="shared" ref="C9:G9" si="1">C8*C5</f>
        <v>1049018999.9999999</v>
      </c>
      <c r="D9" s="27">
        <f t="shared" si="1"/>
        <v>1101469949.9999998</v>
      </c>
      <c r="E9" s="27">
        <f t="shared" si="1"/>
        <v>1161264032.9999995</v>
      </c>
      <c r="F9" s="27">
        <f t="shared" si="1"/>
        <v>1262552062.5449996</v>
      </c>
      <c r="G9" s="27">
        <f t="shared" si="1"/>
        <v>1347608201.4953997</v>
      </c>
      <c r="H9" s="35" t="s">
        <v>95</v>
      </c>
      <c r="I9" s="39">
        <v>3.0300000000000001E-2</v>
      </c>
    </row>
    <row r="10" spans="1:10">
      <c r="A10" s="107" t="s">
        <v>9</v>
      </c>
      <c r="B10" s="99"/>
      <c r="C10" s="99"/>
      <c r="D10" s="99"/>
      <c r="E10" s="99"/>
      <c r="F10" s="99"/>
      <c r="G10" s="100"/>
      <c r="H10" s="37" t="s">
        <v>96</v>
      </c>
      <c r="I10" s="40">
        <f>0.97*((1+(1-0.24)*I5/I4))</f>
        <v>1.3260761056684465</v>
      </c>
    </row>
    <row r="11" spans="1:10">
      <c r="A11" s="24" t="s">
        <v>83</v>
      </c>
      <c r="B11" s="17">
        <f t="shared" ref="B11:G11" si="2">B5*B12</f>
        <v>497340000</v>
      </c>
      <c r="C11" s="17">
        <f t="shared" si="2"/>
        <v>555362999.99999988</v>
      </c>
      <c r="D11" s="17">
        <f t="shared" si="2"/>
        <v>566470259.99999988</v>
      </c>
      <c r="E11" s="17">
        <f t="shared" si="2"/>
        <v>516117347.99999988</v>
      </c>
      <c r="F11" s="17">
        <f t="shared" si="2"/>
        <v>531600868.43999988</v>
      </c>
      <c r="G11" s="17">
        <f t="shared" si="2"/>
        <v>552864903.17759991</v>
      </c>
      <c r="H11" s="37" t="s">
        <v>97</v>
      </c>
      <c r="I11" s="39">
        <v>5.5E-2</v>
      </c>
    </row>
    <row r="12" spans="1:10">
      <c r="A12" s="24" t="s">
        <v>84</v>
      </c>
      <c r="B12" s="25">
        <v>8.1000000000000003E-2</v>
      </c>
      <c r="C12" s="25">
        <v>0.09</v>
      </c>
      <c r="D12" s="25">
        <v>0.09</v>
      </c>
      <c r="E12" s="25">
        <v>0.08</v>
      </c>
      <c r="F12" s="25">
        <v>0.08</v>
      </c>
      <c r="G12" s="25">
        <v>0.08</v>
      </c>
      <c r="H12" s="37" t="s">
        <v>98</v>
      </c>
      <c r="I12" s="41">
        <v>56.36</v>
      </c>
    </row>
    <row r="13" spans="1:10">
      <c r="A13" s="2" t="s">
        <v>71</v>
      </c>
      <c r="B13" s="3">
        <f t="shared" ref="B13:G13" si="3">B9-B11</f>
        <v>712240000</v>
      </c>
      <c r="C13" s="3">
        <f t="shared" si="3"/>
        <v>493656000</v>
      </c>
      <c r="D13" s="3">
        <f t="shared" si="3"/>
        <v>534999689.99999988</v>
      </c>
      <c r="E13" s="3">
        <f t="shared" si="3"/>
        <v>645146684.99999964</v>
      </c>
      <c r="F13" s="3">
        <f t="shared" si="3"/>
        <v>730951194.10499978</v>
      </c>
      <c r="G13" s="3">
        <f t="shared" si="3"/>
        <v>794743298.31779981</v>
      </c>
      <c r="H13" s="37" t="s">
        <v>99</v>
      </c>
      <c r="I13" s="42">
        <v>103921273</v>
      </c>
    </row>
    <row r="14" spans="1:10">
      <c r="A14" s="5" t="s">
        <v>24</v>
      </c>
      <c r="B14" s="9">
        <v>156000000</v>
      </c>
      <c r="C14" s="9">
        <v>156000000</v>
      </c>
      <c r="D14" s="9">
        <v>153000000</v>
      </c>
      <c r="E14" s="9">
        <v>151000000</v>
      </c>
      <c r="F14" s="9">
        <v>150000000</v>
      </c>
      <c r="G14" s="9">
        <v>149000000</v>
      </c>
      <c r="I14" s="43"/>
    </row>
    <row r="15" spans="1:10">
      <c r="A15" s="5" t="s">
        <v>74</v>
      </c>
      <c r="B15" s="7">
        <v>0.24</v>
      </c>
      <c r="C15" s="7">
        <v>0.24</v>
      </c>
      <c r="D15" s="7">
        <v>0.24</v>
      </c>
      <c r="E15" s="7">
        <v>0.24</v>
      </c>
      <c r="F15" s="7">
        <v>0.24</v>
      </c>
      <c r="G15" s="7">
        <v>0.24</v>
      </c>
      <c r="H15" s="33" t="s">
        <v>100</v>
      </c>
      <c r="I15" s="41">
        <f>G26 * (1+I17) / (I2-I17)</f>
        <v>9443907805.6407909</v>
      </c>
    </row>
    <row r="16" spans="1:10">
      <c r="A16" s="2" t="s">
        <v>26</v>
      </c>
      <c r="B16" s="3">
        <v>381000000</v>
      </c>
      <c r="C16" s="3">
        <f t="shared" ref="C16:G16" si="4">(C13-C14)*(1-C15)</f>
        <v>256618560</v>
      </c>
      <c r="D16" s="3">
        <f t="shared" si="4"/>
        <v>290319764.39999992</v>
      </c>
      <c r="E16" s="3">
        <f t="shared" si="4"/>
        <v>375551480.59999973</v>
      </c>
      <c r="F16" s="3">
        <f t="shared" si="4"/>
        <v>441522907.51979983</v>
      </c>
      <c r="G16" s="3">
        <f t="shared" si="4"/>
        <v>490764906.72152787</v>
      </c>
      <c r="H16" s="35" t="s">
        <v>101</v>
      </c>
      <c r="I16" s="41">
        <f>I15/(1+I2)^5</f>
        <v>6427881014.0965452</v>
      </c>
    </row>
    <row r="17" spans="1:9">
      <c r="A17" s="22" t="s">
        <v>28</v>
      </c>
      <c r="B17" s="13">
        <f t="shared" ref="B17:G17" si="5">B16/B5</f>
        <v>6.2052117263843645E-2</v>
      </c>
      <c r="C17" s="13">
        <f t="shared" si="5"/>
        <v>4.1586620642714768E-2</v>
      </c>
      <c r="D17" s="13">
        <f t="shared" si="5"/>
        <v>4.6125596771841117E-2</v>
      </c>
      <c r="E17" s="13">
        <f t="shared" si="5"/>
        <v>5.8211797306220343E-2</v>
      </c>
      <c r="F17" s="13">
        <f t="shared" si="5"/>
        <v>6.6444271818511244E-2</v>
      </c>
      <c r="G17" s="13">
        <f t="shared" si="5"/>
        <v>7.101408013434729E-2</v>
      </c>
      <c r="H17" s="37" t="s">
        <v>102</v>
      </c>
      <c r="I17" s="36">
        <v>0.02</v>
      </c>
    </row>
    <row r="18" spans="1:9">
      <c r="A18" s="107" t="s">
        <v>76</v>
      </c>
      <c r="B18" s="99"/>
      <c r="C18" s="99"/>
      <c r="D18" s="99"/>
      <c r="E18" s="99"/>
      <c r="F18" s="99"/>
      <c r="G18" s="100"/>
    </row>
    <row r="19" spans="1:9">
      <c r="A19" s="24" t="s">
        <v>48</v>
      </c>
      <c r="B19" s="17">
        <v>563000000</v>
      </c>
      <c r="C19" s="17">
        <f t="shared" ref="C19:G19" si="6">C5*C20</f>
        <v>493655999.99999994</v>
      </c>
      <c r="D19" s="17">
        <f t="shared" si="6"/>
        <v>503529119.99999994</v>
      </c>
      <c r="E19" s="17">
        <f t="shared" si="6"/>
        <v>516117347.99999988</v>
      </c>
      <c r="F19" s="17">
        <f t="shared" si="6"/>
        <v>531600868.43999988</v>
      </c>
      <c r="G19" s="17">
        <f t="shared" si="6"/>
        <v>552864903.17759991</v>
      </c>
      <c r="H19" s="33" t="s">
        <v>103</v>
      </c>
      <c r="I19" s="38">
        <f>B29+I16</f>
        <v>8332038481.8364487</v>
      </c>
    </row>
    <row r="20" spans="1:9">
      <c r="A20" s="5" t="s">
        <v>78</v>
      </c>
      <c r="B20" s="7">
        <f>B19/B5</f>
        <v>9.1693811074918571E-2</v>
      </c>
      <c r="C20" s="7">
        <v>0.08</v>
      </c>
      <c r="D20" s="7">
        <v>0.08</v>
      </c>
      <c r="E20" s="7">
        <v>0.08</v>
      </c>
      <c r="F20" s="7">
        <v>0.08</v>
      </c>
      <c r="G20" s="7">
        <v>0.08</v>
      </c>
    </row>
    <row r="21" spans="1:9">
      <c r="A21" s="2" t="s">
        <v>79</v>
      </c>
      <c r="B21" s="3">
        <f>B13*(1-B15)+B11-B19-(B22-1220000000)</f>
        <v>572022400</v>
      </c>
      <c r="C21" s="3">
        <f t="shared" ref="C21:G21" si="7">C13*(1-C15)+C11-C19-(C22-B22)</f>
        <v>357219060.00000018</v>
      </c>
      <c r="D21" s="3">
        <f t="shared" si="7"/>
        <v>521004542.39999992</v>
      </c>
      <c r="E21" s="3">
        <f t="shared" si="7"/>
        <v>461515909.04999983</v>
      </c>
      <c r="F21" s="3">
        <f t="shared" si="7"/>
        <v>520104354.51329994</v>
      </c>
      <c r="G21" s="3">
        <f t="shared" si="7"/>
        <v>555363427.25926781</v>
      </c>
      <c r="H21" s="33" t="s">
        <v>104</v>
      </c>
      <c r="I21" s="38">
        <f>I19-2024000000</f>
        <v>6308038481.8364487</v>
      </c>
    </row>
    <row r="22" spans="1:9">
      <c r="A22" s="5" t="s">
        <v>105</v>
      </c>
      <c r="B22" s="9">
        <f>B5 * 0.183</f>
        <v>1123620000</v>
      </c>
      <c r="C22" s="9">
        <f>C5*0.195</f>
        <v>1203286499.9999998</v>
      </c>
      <c r="D22" s="9">
        <f t="shared" ref="D22:G22" si="8">D5 * 0.183</f>
        <v>1151822861.9999998</v>
      </c>
      <c r="E22" s="9">
        <f t="shared" si="8"/>
        <v>1180618433.5499997</v>
      </c>
      <c r="F22" s="9">
        <f t="shared" si="8"/>
        <v>1216036986.5564997</v>
      </c>
      <c r="G22" s="9">
        <f t="shared" si="8"/>
        <v>1264678466.0187597</v>
      </c>
    </row>
    <row r="23" spans="1:9">
      <c r="H23" s="33" t="s">
        <v>106</v>
      </c>
      <c r="I23" s="44">
        <f>I21/I13</f>
        <v>60.700165613218083</v>
      </c>
    </row>
    <row r="24" spans="1:9">
      <c r="A24" s="45" t="s">
        <v>107</v>
      </c>
    </row>
    <row r="25" spans="1:9">
      <c r="A25" s="46" t="s">
        <v>108</v>
      </c>
      <c r="B25" s="46" t="s">
        <v>7</v>
      </c>
      <c r="C25" s="46" t="s">
        <v>57</v>
      </c>
      <c r="D25" s="46" t="s">
        <v>58</v>
      </c>
      <c r="E25" s="46" t="s">
        <v>59</v>
      </c>
      <c r="F25" s="46" t="s">
        <v>60</v>
      </c>
      <c r="G25" s="46" t="s">
        <v>61</v>
      </c>
    </row>
    <row r="26" spans="1:9">
      <c r="A26" s="47" t="s">
        <v>109</v>
      </c>
      <c r="B26" s="38">
        <f t="shared" ref="B26:G26" si="9">B21</f>
        <v>572022400</v>
      </c>
      <c r="C26" s="38">
        <f t="shared" si="9"/>
        <v>357219060.00000018</v>
      </c>
      <c r="D26" s="38">
        <f t="shared" si="9"/>
        <v>521004542.39999992</v>
      </c>
      <c r="E26" s="38">
        <f t="shared" si="9"/>
        <v>461515909.04999983</v>
      </c>
      <c r="F26" s="38">
        <f t="shared" si="9"/>
        <v>520104354.51329994</v>
      </c>
      <c r="G26" s="38">
        <f t="shared" si="9"/>
        <v>555363427.25926781</v>
      </c>
    </row>
    <row r="27" spans="1:9">
      <c r="A27" s="47" t="s">
        <v>110</v>
      </c>
      <c r="B27" s="38" t="s">
        <v>111</v>
      </c>
      <c r="C27" s="38">
        <f>C26/(1+I2)^1</f>
        <v>330763699.97589344</v>
      </c>
      <c r="D27" s="38">
        <f>D26/(1+I2)^2</f>
        <v>446691764.73580253</v>
      </c>
      <c r="E27" s="38">
        <f>E26/(1+I2)^3</f>
        <v>366383857.18844873</v>
      </c>
      <c r="F27" s="38">
        <f>F26/(1+I2)^4</f>
        <v>382316782.0535506</v>
      </c>
      <c r="G27" s="38">
        <f>G26/(1+I2)^5</f>
        <v>378001363.78620815</v>
      </c>
    </row>
    <row r="29" spans="1:9">
      <c r="A29" s="33" t="s">
        <v>112</v>
      </c>
      <c r="B29" s="48">
        <f>SUM(C27:G27)</f>
        <v>1904157467.7399035</v>
      </c>
    </row>
    <row r="33" spans="1:8">
      <c r="A33" s="108" t="s">
        <v>113</v>
      </c>
      <c r="B33" s="102"/>
      <c r="H33" s="49"/>
    </row>
    <row r="34" spans="1:8">
      <c r="H34" s="49"/>
    </row>
    <row r="35" spans="1:8">
      <c r="A35" s="50" t="s">
        <v>114</v>
      </c>
      <c r="B35" s="50" t="s">
        <v>115</v>
      </c>
      <c r="C35" s="50" t="s">
        <v>116</v>
      </c>
      <c r="D35" s="50" t="s">
        <v>117</v>
      </c>
      <c r="E35" s="50" t="s">
        <v>118</v>
      </c>
    </row>
    <row r="36" spans="1:8">
      <c r="A36" s="51" t="s">
        <v>119</v>
      </c>
      <c r="B36" s="52">
        <v>69.69</v>
      </c>
      <c r="C36" s="52">
        <v>77.099999999999994</v>
      </c>
      <c r="D36" s="52">
        <v>86.16</v>
      </c>
      <c r="E36" s="52">
        <v>97.48</v>
      </c>
    </row>
    <row r="37" spans="1:8">
      <c r="A37" s="51" t="s">
        <v>120</v>
      </c>
      <c r="B37" s="52">
        <v>62.08</v>
      </c>
      <c r="C37" s="52">
        <v>68.14</v>
      </c>
      <c r="D37" s="52">
        <v>75.42</v>
      </c>
      <c r="E37" s="52">
        <v>84.31</v>
      </c>
    </row>
    <row r="38" spans="1:8">
      <c r="A38" s="51" t="s">
        <v>121</v>
      </c>
      <c r="B38" s="52">
        <v>55.64</v>
      </c>
      <c r="C38" s="53">
        <v>60.7</v>
      </c>
      <c r="D38" s="52">
        <v>66.63</v>
      </c>
      <c r="E38" s="52">
        <v>73.77</v>
      </c>
    </row>
    <row r="39" spans="1:8">
      <c r="A39" s="51" t="s">
        <v>122</v>
      </c>
      <c r="B39" s="52">
        <v>50.13</v>
      </c>
      <c r="C39" s="52">
        <v>54.36</v>
      </c>
      <c r="D39" s="52">
        <v>59.31</v>
      </c>
      <c r="E39" s="52">
        <v>65.150000000000006</v>
      </c>
    </row>
    <row r="40" spans="1:8">
      <c r="A40" s="51" t="s">
        <v>123</v>
      </c>
      <c r="B40" s="52">
        <v>45.35</v>
      </c>
      <c r="C40" s="52">
        <v>48.96</v>
      </c>
      <c r="D40" s="52">
        <v>53.12</v>
      </c>
      <c r="E40" s="52">
        <v>57.97</v>
      </c>
    </row>
    <row r="42" spans="1:8">
      <c r="B42" s="54"/>
      <c r="C42" s="54"/>
      <c r="D42" s="54"/>
      <c r="E42" s="54"/>
      <c r="F42" s="54"/>
    </row>
    <row r="43" spans="1:8">
      <c r="B43" s="54"/>
      <c r="C43" s="54"/>
      <c r="D43" s="54"/>
      <c r="E43" s="54"/>
      <c r="F43" s="54"/>
    </row>
  </sheetData>
  <mergeCells count="6">
    <mergeCell ref="A33:B33"/>
    <mergeCell ref="A2:G2"/>
    <mergeCell ref="A4:G4"/>
    <mergeCell ref="A7:G7"/>
    <mergeCell ref="A10:G10"/>
    <mergeCell ref="A18:G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43"/>
  <sheetViews>
    <sheetView workbookViewId="0">
      <selection activeCell="B20" sqref="B20"/>
    </sheetView>
  </sheetViews>
  <sheetFormatPr baseColWidth="10" defaultColWidth="14.5" defaultRowHeight="15" customHeight="1"/>
  <cols>
    <col min="1" max="1" width="36.6640625" customWidth="1"/>
    <col min="8" max="8" width="45.5" customWidth="1"/>
    <col min="9" max="9" width="18.6640625" customWidth="1"/>
    <col min="10" max="10" width="32.83203125" customWidth="1"/>
  </cols>
  <sheetData>
    <row r="1" spans="1:10">
      <c r="A1" s="105" t="s">
        <v>124</v>
      </c>
      <c r="B1" s="99"/>
      <c r="C1" s="99"/>
      <c r="D1" s="99"/>
      <c r="E1" s="99"/>
      <c r="F1" s="99"/>
      <c r="G1" s="100"/>
    </row>
    <row r="2" spans="1:10">
      <c r="A2" s="18" t="s">
        <v>2</v>
      </c>
      <c r="B2" s="18" t="s">
        <v>7</v>
      </c>
      <c r="C2" s="18" t="s">
        <v>57</v>
      </c>
      <c r="D2" s="18" t="s">
        <v>58</v>
      </c>
      <c r="E2" s="18" t="s">
        <v>59</v>
      </c>
      <c r="F2" s="18" t="s">
        <v>60</v>
      </c>
      <c r="G2" s="18" t="s">
        <v>61</v>
      </c>
      <c r="H2" s="33" t="s">
        <v>89</v>
      </c>
      <c r="I2" s="34">
        <f>(J3*I6) + (J4*I8*(1-I3))</f>
        <v>7.9982658393393413E-2</v>
      </c>
    </row>
    <row r="3" spans="1:10">
      <c r="A3" s="103" t="s">
        <v>63</v>
      </c>
      <c r="B3" s="99"/>
      <c r="C3" s="99"/>
      <c r="D3" s="99"/>
      <c r="E3" s="99"/>
      <c r="F3" s="99"/>
      <c r="G3" s="100"/>
      <c r="H3" s="35" t="s">
        <v>90</v>
      </c>
      <c r="I3" s="36">
        <v>0.24</v>
      </c>
      <c r="J3" s="30">
        <f>I4/(I4+I5)</f>
        <v>0.67430358733511708</v>
      </c>
    </row>
    <row r="4" spans="1:10">
      <c r="A4" s="19" t="s">
        <v>10</v>
      </c>
      <c r="B4" s="20">
        <v>6140000000</v>
      </c>
      <c r="C4" s="20">
        <f t="shared" ref="C4:G4" si="0">B4*(1+C5)</f>
        <v>6262800000</v>
      </c>
      <c r="D4" s="20">
        <f t="shared" si="0"/>
        <v>6450684000</v>
      </c>
      <c r="E4" s="20">
        <f t="shared" si="0"/>
        <v>6708711360</v>
      </c>
      <c r="F4" s="20">
        <f t="shared" si="0"/>
        <v>7044146928</v>
      </c>
      <c r="G4" s="20">
        <f t="shared" si="0"/>
        <v>7466795743.6800003</v>
      </c>
      <c r="H4" s="37" t="s">
        <v>91</v>
      </c>
      <c r="I4" s="38">
        <f>I13*I12</f>
        <v>5857002946.2799997</v>
      </c>
      <c r="J4" s="30">
        <f>I5/(I4+I5)</f>
        <v>0.32569641266488297</v>
      </c>
    </row>
    <row r="5" spans="1:10">
      <c r="A5" s="22" t="s">
        <v>12</v>
      </c>
      <c r="B5" s="13">
        <v>-6.5000000000000002E-2</v>
      </c>
      <c r="C5" s="13">
        <v>0.02</v>
      </c>
      <c r="D5" s="13">
        <v>0.03</v>
      </c>
      <c r="E5" s="13">
        <v>0.04</v>
      </c>
      <c r="F5" s="13">
        <v>0.05</v>
      </c>
      <c r="G5" s="13">
        <v>0.06</v>
      </c>
      <c r="H5" s="37" t="s">
        <v>92</v>
      </c>
      <c r="I5" s="38">
        <v>2829000000</v>
      </c>
    </row>
    <row r="6" spans="1:10">
      <c r="A6" s="103" t="s">
        <v>65</v>
      </c>
      <c r="B6" s="99"/>
      <c r="C6" s="99"/>
      <c r="D6" s="99"/>
      <c r="E6" s="99"/>
      <c r="F6" s="99"/>
      <c r="G6" s="100"/>
      <c r="H6" s="35" t="s">
        <v>93</v>
      </c>
      <c r="I6" s="39">
        <f>I9+I10*I11</f>
        <v>0.10323418581176455</v>
      </c>
    </row>
    <row r="7" spans="1:10">
      <c r="A7" s="24" t="s">
        <v>66</v>
      </c>
      <c r="B7" s="25">
        <v>0.19700000000000001</v>
      </c>
      <c r="C7" s="25">
        <v>0.2</v>
      </c>
      <c r="D7" s="25">
        <v>0.20499999999999999</v>
      </c>
      <c r="E7" s="25">
        <v>0.21</v>
      </c>
      <c r="F7" s="25">
        <v>0.215</v>
      </c>
      <c r="G7" s="25">
        <v>0.215</v>
      </c>
      <c r="H7" s="37" t="s">
        <v>93</v>
      </c>
      <c r="I7" s="39">
        <f>I6</f>
        <v>0.10323418581176455</v>
      </c>
    </row>
    <row r="8" spans="1:10">
      <c r="A8" s="22" t="s">
        <v>68</v>
      </c>
      <c r="B8" s="27">
        <f t="shared" ref="B8:G8" si="1">B4*B7</f>
        <v>1209580000</v>
      </c>
      <c r="C8" s="27">
        <f t="shared" si="1"/>
        <v>1252560000</v>
      </c>
      <c r="D8" s="27">
        <f t="shared" si="1"/>
        <v>1322390220</v>
      </c>
      <c r="E8" s="27">
        <f t="shared" si="1"/>
        <v>1408829385.5999999</v>
      </c>
      <c r="F8" s="27">
        <f t="shared" si="1"/>
        <v>1514491589.52</v>
      </c>
      <c r="G8" s="27">
        <f t="shared" si="1"/>
        <v>1605361084.8912001</v>
      </c>
      <c r="H8" s="37" t="s">
        <v>94</v>
      </c>
      <c r="I8" s="39">
        <v>4.19E-2</v>
      </c>
    </row>
    <row r="9" spans="1:10">
      <c r="A9" s="103" t="s">
        <v>9</v>
      </c>
      <c r="B9" s="99"/>
      <c r="C9" s="99"/>
      <c r="D9" s="99"/>
      <c r="E9" s="99"/>
      <c r="F9" s="99"/>
      <c r="G9" s="100"/>
      <c r="H9" s="35" t="s">
        <v>95</v>
      </c>
      <c r="I9" s="39">
        <v>3.0300000000000001E-2</v>
      </c>
    </row>
    <row r="10" spans="1:10">
      <c r="A10" s="24" t="s">
        <v>69</v>
      </c>
      <c r="B10" s="17">
        <f>B4*0.081</f>
        <v>497340000</v>
      </c>
      <c r="C10" s="17">
        <f t="shared" ref="C10:D10" si="2">C4*0.09</f>
        <v>563652000</v>
      </c>
      <c r="D10" s="17">
        <f t="shared" si="2"/>
        <v>580561560</v>
      </c>
      <c r="E10" s="17">
        <f t="shared" ref="E10:G10" si="3">E4*0.08</f>
        <v>536696908.80000001</v>
      </c>
      <c r="F10" s="17">
        <f t="shared" si="3"/>
        <v>563531754.24000001</v>
      </c>
      <c r="G10" s="17">
        <f t="shared" si="3"/>
        <v>597343659.49440002</v>
      </c>
      <c r="H10" s="37" t="s">
        <v>96</v>
      </c>
      <c r="I10" s="40">
        <f>0.97*((1+(1-0.24)*I5/I4))</f>
        <v>1.3260761056684465</v>
      </c>
    </row>
    <row r="11" spans="1:10">
      <c r="A11" s="2" t="s">
        <v>71</v>
      </c>
      <c r="B11" s="3">
        <f t="shared" ref="B11:G11" si="4">B8-B10</f>
        <v>712240000</v>
      </c>
      <c r="C11" s="3">
        <f t="shared" si="4"/>
        <v>688908000</v>
      </c>
      <c r="D11" s="3">
        <f t="shared" si="4"/>
        <v>741828660</v>
      </c>
      <c r="E11" s="3">
        <f t="shared" si="4"/>
        <v>872132476.79999995</v>
      </c>
      <c r="F11" s="3">
        <f t="shared" si="4"/>
        <v>950959835.27999997</v>
      </c>
      <c r="G11" s="3">
        <f t="shared" si="4"/>
        <v>1008017425.3968</v>
      </c>
      <c r="H11" s="37" t="s">
        <v>97</v>
      </c>
      <c r="I11" s="39">
        <v>5.5E-2</v>
      </c>
    </row>
    <row r="12" spans="1:10">
      <c r="A12" s="5" t="s">
        <v>24</v>
      </c>
      <c r="B12" s="9">
        <v>156000000</v>
      </c>
      <c r="C12" s="9">
        <v>150000000</v>
      </c>
      <c r="D12" s="9">
        <v>148000000</v>
      </c>
      <c r="E12" s="9">
        <v>146000000</v>
      </c>
      <c r="F12" s="9">
        <v>144000000</v>
      </c>
      <c r="G12" s="9">
        <v>142000000</v>
      </c>
      <c r="H12" s="37" t="s">
        <v>98</v>
      </c>
      <c r="I12" s="41">
        <v>56.36</v>
      </c>
    </row>
    <row r="13" spans="1:10">
      <c r="A13" s="5" t="s">
        <v>74</v>
      </c>
      <c r="B13" s="7">
        <v>0.24</v>
      </c>
      <c r="C13" s="7">
        <f t="shared" ref="C13:G13" si="5">$B13</f>
        <v>0.24</v>
      </c>
      <c r="D13" s="7">
        <f t="shared" si="5"/>
        <v>0.24</v>
      </c>
      <c r="E13" s="7">
        <f t="shared" si="5"/>
        <v>0.24</v>
      </c>
      <c r="F13" s="7">
        <f t="shared" si="5"/>
        <v>0.24</v>
      </c>
      <c r="G13" s="7">
        <f t="shared" si="5"/>
        <v>0.24</v>
      </c>
      <c r="H13" s="37" t="s">
        <v>99</v>
      </c>
      <c r="I13" s="42">
        <v>103921273</v>
      </c>
    </row>
    <row r="14" spans="1:10">
      <c r="A14" s="2" t="s">
        <v>26</v>
      </c>
      <c r="B14" s="3">
        <v>381000000</v>
      </c>
      <c r="C14" s="3">
        <f t="shared" ref="C14:G14" si="6">(C11-C12)*(1-C13)</f>
        <v>409570080</v>
      </c>
      <c r="D14" s="3">
        <f t="shared" si="6"/>
        <v>451309781.60000002</v>
      </c>
      <c r="E14" s="3">
        <f t="shared" si="6"/>
        <v>551860682.36799991</v>
      </c>
      <c r="F14" s="3">
        <f t="shared" si="6"/>
        <v>613289474.81279993</v>
      </c>
      <c r="G14" s="3">
        <f t="shared" si="6"/>
        <v>658173243.30156803</v>
      </c>
      <c r="I14" s="43"/>
    </row>
    <row r="15" spans="1:10">
      <c r="A15" s="22" t="s">
        <v>28</v>
      </c>
      <c r="B15" s="13">
        <f t="shared" ref="B15:G15" si="7">B14/B4</f>
        <v>6.2052117263843645E-2</v>
      </c>
      <c r="C15" s="13">
        <f t="shared" si="7"/>
        <v>6.5397279172255227E-2</v>
      </c>
      <c r="D15" s="13">
        <f t="shared" si="7"/>
        <v>6.9963089433616663E-2</v>
      </c>
      <c r="E15" s="13">
        <f t="shared" si="7"/>
        <v>8.2260310923259028E-2</v>
      </c>
      <c r="F15" s="13">
        <f t="shared" si="7"/>
        <v>8.7063697149049574E-2</v>
      </c>
      <c r="G15" s="13">
        <f t="shared" si="7"/>
        <v>8.8146678427443934E-2</v>
      </c>
      <c r="H15" s="33" t="s">
        <v>100</v>
      </c>
      <c r="I15" s="41">
        <f>G25 * (1+I17) / (I2-I17)</f>
        <v>11712109783.886263</v>
      </c>
    </row>
    <row r="16" spans="1:10">
      <c r="A16" s="103" t="s">
        <v>76</v>
      </c>
      <c r="B16" s="99"/>
      <c r="C16" s="99"/>
      <c r="D16" s="99"/>
      <c r="E16" s="99"/>
      <c r="F16" s="99"/>
      <c r="G16" s="100"/>
      <c r="H16" s="35" t="s">
        <v>101</v>
      </c>
      <c r="I16" s="41">
        <f>I15/(1+I2)^5</f>
        <v>7971705110.2394485</v>
      </c>
    </row>
    <row r="17" spans="1:9">
      <c r="A17" s="19" t="s">
        <v>48</v>
      </c>
      <c r="B17" s="17">
        <v>563000000</v>
      </c>
      <c r="C17" s="17">
        <v>500000000</v>
      </c>
      <c r="D17" s="17">
        <f t="shared" ref="D17:G17" si="8">D4*D18</f>
        <v>516054720</v>
      </c>
      <c r="E17" s="17">
        <f t="shared" si="8"/>
        <v>536696908.80000001</v>
      </c>
      <c r="F17" s="17">
        <f t="shared" si="8"/>
        <v>563531754.24000001</v>
      </c>
      <c r="G17" s="17">
        <f t="shared" si="8"/>
        <v>597343659.49440002</v>
      </c>
      <c r="H17" s="37" t="s">
        <v>102</v>
      </c>
      <c r="I17" s="36">
        <v>0.02</v>
      </c>
    </row>
    <row r="18" spans="1:9">
      <c r="A18" s="5" t="s">
        <v>78</v>
      </c>
      <c r="B18" s="7">
        <f t="shared" ref="B18:C18" si="9">B17/B4</f>
        <v>9.1693811074918571E-2</v>
      </c>
      <c r="C18" s="7">
        <f t="shared" si="9"/>
        <v>7.9836494858529727E-2</v>
      </c>
      <c r="D18" s="13">
        <v>0.08</v>
      </c>
      <c r="E18" s="13">
        <v>0.08</v>
      </c>
      <c r="F18" s="13">
        <v>0.08</v>
      </c>
      <c r="G18" s="13">
        <v>0.08</v>
      </c>
    </row>
    <row r="19" spans="1:9">
      <c r="A19" s="2" t="s">
        <v>79</v>
      </c>
      <c r="B19" s="3">
        <f>B11 * (1-0.24) + B10 - B17 - (1124-1220)</f>
        <v>475642496</v>
      </c>
      <c r="C19" s="14">
        <f t="shared" ref="C19:G19" si="10">C11*(1-0.24)+C10-C17-(C20-B20)</f>
        <v>489596080</v>
      </c>
      <c r="D19" s="15">
        <f t="shared" si="10"/>
        <v>669067449.5999999</v>
      </c>
      <c r="E19" s="16">
        <f t="shared" si="10"/>
        <v>615601675.48800015</v>
      </c>
      <c r="F19" s="3">
        <f t="shared" si="10"/>
        <v>661344765.86879992</v>
      </c>
      <c r="G19" s="3">
        <f t="shared" si="10"/>
        <v>688748510.03212786</v>
      </c>
      <c r="H19" s="33" t="s">
        <v>103</v>
      </c>
      <c r="I19" s="38">
        <f>B28+I16</f>
        <v>10442313679.115719</v>
      </c>
    </row>
    <row r="20" spans="1:9">
      <c r="A20" s="5" t="s">
        <v>125</v>
      </c>
      <c r="B20" s="9">
        <f>B4 * 0.183</f>
        <v>1123620000</v>
      </c>
      <c r="C20" s="9">
        <f>C4 * 0.195</f>
        <v>1221246000</v>
      </c>
      <c r="D20" s="17">
        <f t="shared" ref="D20:G20" si="11">D4 * 0.183</f>
        <v>1180475172</v>
      </c>
      <c r="E20" s="9">
        <f t="shared" si="11"/>
        <v>1227694178.8799999</v>
      </c>
      <c r="F20" s="9">
        <f t="shared" si="11"/>
        <v>1289078887.8239999</v>
      </c>
      <c r="G20" s="9">
        <f t="shared" si="11"/>
        <v>1366423621.0934401</v>
      </c>
    </row>
    <row r="21" spans="1:9">
      <c r="H21" s="33" t="s">
        <v>104</v>
      </c>
      <c r="I21" s="38">
        <f>I19-2024000000</f>
        <v>8418313679.1157188</v>
      </c>
    </row>
    <row r="23" spans="1:9">
      <c r="A23" s="45" t="s">
        <v>107</v>
      </c>
      <c r="H23" s="33" t="s">
        <v>106</v>
      </c>
      <c r="I23" s="44">
        <f>I21/I13</f>
        <v>81.006645089073515</v>
      </c>
    </row>
    <row r="24" spans="1:9">
      <c r="A24" s="46" t="s">
        <v>108</v>
      </c>
      <c r="B24" s="46" t="s">
        <v>7</v>
      </c>
      <c r="C24" s="46" t="s">
        <v>57</v>
      </c>
      <c r="D24" s="46" t="s">
        <v>58</v>
      </c>
      <c r="E24" s="46" t="s">
        <v>59</v>
      </c>
      <c r="F24" s="46" t="s">
        <v>60</v>
      </c>
      <c r="G24" s="46" t="s">
        <v>61</v>
      </c>
    </row>
    <row r="25" spans="1:9">
      <c r="A25" s="47" t="s">
        <v>109</v>
      </c>
      <c r="B25" s="38">
        <f t="shared" ref="B25:G25" si="12">B19</f>
        <v>475642496</v>
      </c>
      <c r="C25" s="38">
        <f t="shared" si="12"/>
        <v>489596080</v>
      </c>
      <c r="D25" s="38">
        <f t="shared" si="12"/>
        <v>669067449.5999999</v>
      </c>
      <c r="E25" s="38">
        <f t="shared" si="12"/>
        <v>615601675.48800015</v>
      </c>
      <c r="F25" s="38">
        <f t="shared" si="12"/>
        <v>661344765.86879992</v>
      </c>
      <c r="G25" s="38">
        <f t="shared" si="12"/>
        <v>688748510.03212786</v>
      </c>
    </row>
    <row r="26" spans="1:9">
      <c r="A26" s="47" t="s">
        <v>110</v>
      </c>
      <c r="B26" s="38" t="s">
        <v>111</v>
      </c>
      <c r="C26" s="38">
        <f>C25/(1+I2)^1</f>
        <v>453336982.95520246</v>
      </c>
      <c r="D26" s="38">
        <f>D25/(1+I2)^2</f>
        <v>573635919.5879184</v>
      </c>
      <c r="E26" s="38">
        <f>E25/(1+I2)^3</f>
        <v>488707998.8666867</v>
      </c>
      <c r="F26" s="38">
        <f>F25/(1+I2)^4</f>
        <v>486139368.99552107</v>
      </c>
      <c r="G26" s="38">
        <f>G25/(1+I2)^5</f>
        <v>468788298.4709425</v>
      </c>
    </row>
    <row r="28" spans="1:9">
      <c r="A28" s="33" t="s">
        <v>112</v>
      </c>
      <c r="B28" s="48">
        <f>SUM(C26:G26)</f>
        <v>2470608568.8762712</v>
      </c>
    </row>
    <row r="31" spans="1:9">
      <c r="A31" s="108" t="s">
        <v>126</v>
      </c>
      <c r="B31" s="102"/>
    </row>
    <row r="33" spans="1:8">
      <c r="A33" s="50" t="s">
        <v>114</v>
      </c>
      <c r="B33" s="50" t="s">
        <v>115</v>
      </c>
      <c r="C33" s="50" t="s">
        <v>116</v>
      </c>
      <c r="D33" s="50" t="s">
        <v>117</v>
      </c>
      <c r="E33" s="50" t="s">
        <v>118</v>
      </c>
      <c r="H33" s="49"/>
    </row>
    <row r="34" spans="1:8">
      <c r="A34" s="51" t="s">
        <v>119</v>
      </c>
      <c r="B34" s="52">
        <v>92.17</v>
      </c>
      <c r="C34" s="52">
        <v>101.36</v>
      </c>
      <c r="D34" s="52">
        <v>112.6</v>
      </c>
      <c r="E34" s="52">
        <v>126.64</v>
      </c>
      <c r="H34" s="49"/>
    </row>
    <row r="35" spans="1:8">
      <c r="A35" s="51" t="s">
        <v>120</v>
      </c>
      <c r="B35" s="52">
        <v>82.72</v>
      </c>
      <c r="C35" s="52">
        <v>90.24</v>
      </c>
      <c r="D35" s="52">
        <v>99.27</v>
      </c>
      <c r="E35" s="52">
        <v>110.29</v>
      </c>
    </row>
    <row r="36" spans="1:8">
      <c r="A36" s="51" t="s">
        <v>121</v>
      </c>
      <c r="B36" s="52">
        <v>75</v>
      </c>
      <c r="C36" s="53">
        <v>81.010000000000005</v>
      </c>
      <c r="D36" s="52">
        <v>88.39</v>
      </c>
      <c r="E36" s="52">
        <v>97.26</v>
      </c>
    </row>
    <row r="37" spans="1:8">
      <c r="A37" s="51" t="s">
        <v>122</v>
      </c>
      <c r="B37" s="52">
        <v>67.88</v>
      </c>
      <c r="C37" s="52">
        <v>73.14</v>
      </c>
      <c r="D37" s="52">
        <v>79.27</v>
      </c>
      <c r="E37" s="52">
        <v>86.52</v>
      </c>
    </row>
    <row r="38" spans="1:8">
      <c r="A38" s="51" t="s">
        <v>123</v>
      </c>
      <c r="B38" s="52">
        <v>61.95</v>
      </c>
      <c r="C38" s="52">
        <v>66.42</v>
      </c>
      <c r="D38" s="52">
        <v>71.58</v>
      </c>
      <c r="E38" s="52">
        <v>77.599999999999994</v>
      </c>
    </row>
    <row r="42" spans="1:8">
      <c r="B42" s="54"/>
      <c r="C42" s="54"/>
      <c r="D42" s="54"/>
      <c r="E42" s="54"/>
      <c r="F42" s="54"/>
    </row>
    <row r="43" spans="1:8">
      <c r="B43" s="54"/>
      <c r="C43" s="54"/>
      <c r="D43" s="54"/>
      <c r="E43" s="54"/>
      <c r="F43" s="54"/>
    </row>
  </sheetData>
  <mergeCells count="6">
    <mergeCell ref="A31:B31"/>
    <mergeCell ref="A1:G1"/>
    <mergeCell ref="A3:G3"/>
    <mergeCell ref="A6:G6"/>
    <mergeCell ref="A9:G9"/>
    <mergeCell ref="A16:G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J43"/>
  <sheetViews>
    <sheetView workbookViewId="0">
      <selection activeCell="G27" sqref="G27"/>
    </sheetView>
  </sheetViews>
  <sheetFormatPr baseColWidth="10" defaultColWidth="14.5" defaultRowHeight="15" customHeight="1"/>
  <cols>
    <col min="1" max="1" width="32.5" customWidth="1"/>
    <col min="8" max="8" width="48" customWidth="1"/>
    <col min="9" max="9" width="25.5" customWidth="1"/>
  </cols>
  <sheetData>
    <row r="2" spans="1:10">
      <c r="A2" s="106" t="s">
        <v>86</v>
      </c>
      <c r="B2" s="99"/>
      <c r="C2" s="99"/>
      <c r="D2" s="99"/>
      <c r="E2" s="99"/>
      <c r="F2" s="99"/>
      <c r="G2" s="100"/>
      <c r="H2" s="33" t="s">
        <v>89</v>
      </c>
      <c r="I2" s="34">
        <f>(J4*I6) + (J5*I8*(1-I3))</f>
        <v>7.9982658393393413E-2</v>
      </c>
    </row>
    <row r="3" spans="1:10">
      <c r="A3" s="29" t="s">
        <v>2</v>
      </c>
      <c r="B3" s="29" t="s">
        <v>7</v>
      </c>
      <c r="C3" s="29" t="s">
        <v>57</v>
      </c>
      <c r="D3" s="29" t="s">
        <v>58</v>
      </c>
      <c r="E3" s="29" t="s">
        <v>59</v>
      </c>
      <c r="F3" s="29" t="s">
        <v>60</v>
      </c>
      <c r="G3" s="29" t="s">
        <v>61</v>
      </c>
      <c r="H3" s="35" t="s">
        <v>90</v>
      </c>
      <c r="I3" s="36">
        <v>0.24</v>
      </c>
    </row>
    <row r="4" spans="1:10">
      <c r="A4" s="106" t="s">
        <v>63</v>
      </c>
      <c r="B4" s="99"/>
      <c r="C4" s="99"/>
      <c r="D4" s="99"/>
      <c r="E4" s="99"/>
      <c r="F4" s="99"/>
      <c r="G4" s="100"/>
      <c r="H4" s="37" t="s">
        <v>91</v>
      </c>
      <c r="I4" s="38">
        <f>I13*I12</f>
        <v>5857002946.2799997</v>
      </c>
      <c r="J4" s="30">
        <f>I4/(I5+I4)</f>
        <v>0.67430358733511708</v>
      </c>
    </row>
    <row r="5" spans="1:10">
      <c r="A5" s="19" t="s">
        <v>10</v>
      </c>
      <c r="B5" s="20">
        <v>6140000000</v>
      </c>
      <c r="C5" s="20">
        <f t="shared" ref="C5:G5" si="0">B5*(1+C6)</f>
        <v>6324200000</v>
      </c>
      <c r="D5" s="20">
        <f t="shared" si="0"/>
        <v>6577168000</v>
      </c>
      <c r="E5" s="20">
        <f t="shared" si="0"/>
        <v>6971798080</v>
      </c>
      <c r="F5" s="20">
        <f t="shared" si="0"/>
        <v>7459823945.6000004</v>
      </c>
      <c r="G5" s="20">
        <f t="shared" si="0"/>
        <v>8056609861.2480011</v>
      </c>
      <c r="H5" s="37" t="s">
        <v>92</v>
      </c>
      <c r="I5" s="38">
        <v>2829000000</v>
      </c>
      <c r="J5" s="30">
        <f>I5/(I5+I4)</f>
        <v>0.32569641266488297</v>
      </c>
    </row>
    <row r="6" spans="1:10">
      <c r="A6" s="22" t="s">
        <v>12</v>
      </c>
      <c r="B6" s="13">
        <v>-6.5000000000000002E-2</v>
      </c>
      <c r="C6" s="13">
        <v>0.03</v>
      </c>
      <c r="D6" s="13">
        <v>0.04</v>
      </c>
      <c r="E6" s="13">
        <v>0.06</v>
      </c>
      <c r="F6" s="13">
        <v>7.0000000000000007E-2</v>
      </c>
      <c r="G6" s="13">
        <v>0.08</v>
      </c>
      <c r="H6" s="35" t="s">
        <v>93</v>
      </c>
      <c r="I6" s="39">
        <f>I9+I10*I11</f>
        <v>0.10323418581176455</v>
      </c>
    </row>
    <row r="7" spans="1:10">
      <c r="A7" s="106" t="s">
        <v>65</v>
      </c>
      <c r="B7" s="99"/>
      <c r="C7" s="99"/>
      <c r="D7" s="99"/>
      <c r="E7" s="99"/>
      <c r="F7" s="99"/>
      <c r="G7" s="100"/>
      <c r="H7" s="37" t="s">
        <v>93</v>
      </c>
      <c r="I7" s="39">
        <f>I6</f>
        <v>0.10323418581176455</v>
      </c>
    </row>
    <row r="8" spans="1:10">
      <c r="A8" s="24" t="s">
        <v>66</v>
      </c>
      <c r="B8" s="25">
        <v>0.19700000000000001</v>
      </c>
      <c r="C8" s="25">
        <v>0.2</v>
      </c>
      <c r="D8" s="25">
        <v>0.21</v>
      </c>
      <c r="E8" s="25">
        <v>0.22</v>
      </c>
      <c r="F8" s="25">
        <v>0.23</v>
      </c>
      <c r="G8" s="25">
        <v>0.23499999999999999</v>
      </c>
      <c r="H8" s="37" t="s">
        <v>94</v>
      </c>
      <c r="I8" s="39">
        <v>4.19E-2</v>
      </c>
    </row>
    <row r="9" spans="1:10">
      <c r="A9" s="26" t="s">
        <v>68</v>
      </c>
      <c r="B9" s="27">
        <f t="shared" ref="B9:G9" si="1">B5*B8</f>
        <v>1209580000</v>
      </c>
      <c r="C9" s="27">
        <f t="shared" si="1"/>
        <v>1264840000</v>
      </c>
      <c r="D9" s="27">
        <f t="shared" si="1"/>
        <v>1381205280</v>
      </c>
      <c r="E9" s="27">
        <f t="shared" si="1"/>
        <v>1533795577.5999999</v>
      </c>
      <c r="F9" s="27">
        <f t="shared" si="1"/>
        <v>1715759507.4880002</v>
      </c>
      <c r="G9" s="27">
        <f t="shared" si="1"/>
        <v>1893303317.3932803</v>
      </c>
      <c r="H9" s="35" t="s">
        <v>95</v>
      </c>
      <c r="I9" s="39">
        <v>3.0300000000000001E-2</v>
      </c>
    </row>
    <row r="10" spans="1:10">
      <c r="A10" s="106" t="s">
        <v>9</v>
      </c>
      <c r="B10" s="99"/>
      <c r="C10" s="99"/>
      <c r="D10" s="99"/>
      <c r="E10" s="99"/>
      <c r="F10" s="99"/>
      <c r="G10" s="100"/>
      <c r="H10" s="37" t="s">
        <v>96</v>
      </c>
      <c r="I10" s="40">
        <f>0.97*((1+(1-0.24)*I5/I4))</f>
        <v>1.3260761056684465</v>
      </c>
    </row>
    <row r="11" spans="1:10">
      <c r="A11" s="24" t="s">
        <v>83</v>
      </c>
      <c r="B11" s="17">
        <f>B5*0.081</f>
        <v>497340000</v>
      </c>
      <c r="C11" s="17">
        <f t="shared" ref="C11:G11" si="2">C5*C12</f>
        <v>569178000</v>
      </c>
      <c r="D11" s="17">
        <f t="shared" si="2"/>
        <v>591945120</v>
      </c>
      <c r="E11" s="17">
        <f t="shared" si="2"/>
        <v>557743846.39999998</v>
      </c>
      <c r="F11" s="17">
        <f t="shared" si="2"/>
        <v>596785915.648</v>
      </c>
      <c r="G11" s="17">
        <f t="shared" si="2"/>
        <v>644528788.89984012</v>
      </c>
      <c r="H11" s="37" t="s">
        <v>97</v>
      </c>
      <c r="I11" s="39">
        <v>5.5E-2</v>
      </c>
    </row>
    <row r="12" spans="1:10">
      <c r="A12" s="24" t="s">
        <v>84</v>
      </c>
      <c r="B12" s="55">
        <v>8.1000000000000003E-2</v>
      </c>
      <c r="C12" s="25">
        <v>0.09</v>
      </c>
      <c r="D12" s="25">
        <v>0.09</v>
      </c>
      <c r="E12" s="25">
        <v>0.08</v>
      </c>
      <c r="F12" s="25">
        <v>0.08</v>
      </c>
      <c r="G12" s="25">
        <v>0.08</v>
      </c>
      <c r="H12" s="37" t="s">
        <v>98</v>
      </c>
      <c r="I12" s="41">
        <v>56.36</v>
      </c>
    </row>
    <row r="13" spans="1:10">
      <c r="A13" s="2" t="s">
        <v>71</v>
      </c>
      <c r="B13" s="3">
        <f t="shared" ref="B13:G13" si="3">B9-B11</f>
        <v>712240000</v>
      </c>
      <c r="C13" s="3">
        <f t="shared" si="3"/>
        <v>695662000</v>
      </c>
      <c r="D13" s="3">
        <f t="shared" si="3"/>
        <v>789260160</v>
      </c>
      <c r="E13" s="3">
        <f t="shared" si="3"/>
        <v>976051731.19999993</v>
      </c>
      <c r="F13" s="3">
        <f t="shared" si="3"/>
        <v>1118973591.8400002</v>
      </c>
      <c r="G13" s="3">
        <f t="shared" si="3"/>
        <v>1248774528.4934402</v>
      </c>
      <c r="H13" s="37" t="s">
        <v>99</v>
      </c>
      <c r="I13" s="42">
        <v>103921273</v>
      </c>
    </row>
    <row r="14" spans="1:10">
      <c r="A14" s="5" t="s">
        <v>24</v>
      </c>
      <c r="B14" s="9">
        <v>156000000</v>
      </c>
      <c r="C14" s="9">
        <v>145000000</v>
      </c>
      <c r="D14" s="9">
        <v>143000000</v>
      </c>
      <c r="E14" s="9">
        <v>138000000</v>
      </c>
      <c r="F14" s="9">
        <v>134000000</v>
      </c>
      <c r="G14" s="9">
        <v>130000000</v>
      </c>
      <c r="I14" s="43"/>
    </row>
    <row r="15" spans="1:10">
      <c r="A15" s="5" t="s">
        <v>74</v>
      </c>
      <c r="B15" s="7">
        <v>0.24</v>
      </c>
      <c r="C15" s="7">
        <v>0.24</v>
      </c>
      <c r="D15" s="7">
        <v>0.24</v>
      </c>
      <c r="E15" s="7">
        <v>0.24</v>
      </c>
      <c r="F15" s="7">
        <v>0.24</v>
      </c>
      <c r="G15" s="7">
        <v>0.24</v>
      </c>
      <c r="H15" s="33" t="s">
        <v>100</v>
      </c>
      <c r="I15" s="41">
        <f>G26 * (1+I17) / (I2-I17)</f>
        <v>14281693716.456095</v>
      </c>
    </row>
    <row r="16" spans="1:10">
      <c r="A16" s="2" t="s">
        <v>26</v>
      </c>
      <c r="B16" s="3">
        <v>381000000</v>
      </c>
      <c r="C16" s="3">
        <f t="shared" ref="C16:G16" si="4">(C13-C14)*(1-C15)</f>
        <v>418503120</v>
      </c>
      <c r="D16" s="3">
        <f t="shared" si="4"/>
        <v>491157721.60000002</v>
      </c>
      <c r="E16" s="3">
        <f t="shared" si="4"/>
        <v>636919315.71200001</v>
      </c>
      <c r="F16" s="3">
        <f t="shared" si="4"/>
        <v>748579929.79840016</v>
      </c>
      <c r="G16" s="3">
        <f t="shared" si="4"/>
        <v>850268641.65501451</v>
      </c>
      <c r="H16" s="35" t="s">
        <v>101</v>
      </c>
      <c r="I16" s="41">
        <f>I15/(1+I2)^5</f>
        <v>9720661168.9196968</v>
      </c>
    </row>
    <row r="17" spans="1:9">
      <c r="A17" s="22" t="s">
        <v>28</v>
      </c>
      <c r="B17" s="13">
        <f t="shared" ref="B17:G17" si="5">B16/B5</f>
        <v>6.2052117263843645E-2</v>
      </c>
      <c r="C17" s="13">
        <f t="shared" si="5"/>
        <v>6.6174871129945287E-2</v>
      </c>
      <c r="D17" s="13">
        <f t="shared" si="5"/>
        <v>7.4676170899086056E-2</v>
      </c>
      <c r="E17" s="13">
        <f t="shared" si="5"/>
        <v>9.1356535057882798E-2</v>
      </c>
      <c r="F17" s="13">
        <f t="shared" si="5"/>
        <v>0.10034820328969456</v>
      </c>
      <c r="G17" s="13">
        <f t="shared" si="5"/>
        <v>0.10553677741611588</v>
      </c>
      <c r="H17" s="37" t="s">
        <v>102</v>
      </c>
      <c r="I17" s="36">
        <v>0.02</v>
      </c>
    </row>
    <row r="18" spans="1:9">
      <c r="A18" s="106" t="s">
        <v>76</v>
      </c>
      <c r="B18" s="99"/>
      <c r="C18" s="99"/>
      <c r="D18" s="99"/>
      <c r="E18" s="99"/>
      <c r="F18" s="99"/>
      <c r="G18" s="100"/>
    </row>
    <row r="19" spans="1:9">
      <c r="A19" s="19" t="s">
        <v>48</v>
      </c>
      <c r="B19" s="20">
        <v>563000000</v>
      </c>
      <c r="C19" s="20">
        <f t="shared" ref="C19:G19" si="6">C5*C20</f>
        <v>505936000</v>
      </c>
      <c r="D19" s="20">
        <f t="shared" si="6"/>
        <v>526173440</v>
      </c>
      <c r="E19" s="20">
        <f t="shared" si="6"/>
        <v>557743846.39999998</v>
      </c>
      <c r="F19" s="20">
        <f t="shared" si="6"/>
        <v>596785915.648</v>
      </c>
      <c r="G19" s="20">
        <f t="shared" si="6"/>
        <v>644528788.89984012</v>
      </c>
      <c r="H19" s="33" t="s">
        <v>103</v>
      </c>
      <c r="I19" s="38">
        <f>B29+I16</f>
        <v>12426007024.576271</v>
      </c>
    </row>
    <row r="20" spans="1:9">
      <c r="A20" s="5" t="s">
        <v>78</v>
      </c>
      <c r="B20" s="7">
        <f>B19/B5</f>
        <v>9.1693811074918571E-2</v>
      </c>
      <c r="C20" s="7">
        <v>0.08</v>
      </c>
      <c r="D20" s="7">
        <v>0.08</v>
      </c>
      <c r="E20" s="7">
        <v>0.08</v>
      </c>
      <c r="F20" s="7">
        <v>0.08</v>
      </c>
      <c r="G20" s="7">
        <v>0.08</v>
      </c>
    </row>
    <row r="21" spans="1:9">
      <c r="A21" s="2" t="s">
        <v>79</v>
      </c>
      <c r="B21" s="3">
        <f>B13*(1-0.24)+B11-B19-(1124-1220)</f>
        <v>475642496</v>
      </c>
      <c r="C21" s="14">
        <f>C13*(1-0.24)+C11-C19-(C22-B22)</f>
        <v>482346120</v>
      </c>
      <c r="D21" s="14">
        <f>D13*(0.76)+D11-D19-(D22-C22)</f>
        <v>695206657.5999999</v>
      </c>
      <c r="E21" s="14">
        <f t="shared" ref="E21:G21" si="7">E13*(1-0.24)+E11-E19-(E22-D22)</f>
        <v>669582011.07200015</v>
      </c>
      <c r="F21" s="14">
        <f t="shared" si="7"/>
        <v>761111196.39359999</v>
      </c>
      <c r="G21" s="14">
        <f t="shared" si="7"/>
        <v>839856819.09143043</v>
      </c>
      <c r="H21" s="33" t="s">
        <v>104</v>
      </c>
      <c r="I21" s="38">
        <f>I19-2024000000</f>
        <v>10402007024.576271</v>
      </c>
    </row>
    <row r="22" spans="1:9">
      <c r="A22" s="5" t="s">
        <v>127</v>
      </c>
      <c r="B22" s="9">
        <f>B5 * 0.183</f>
        <v>1123620000</v>
      </c>
      <c r="C22" s="9">
        <f>C5*0.195</f>
        <v>1233219000</v>
      </c>
      <c r="D22" s="17">
        <f t="shared" ref="D22:G22" si="8">D5 * 0.183</f>
        <v>1203621744</v>
      </c>
      <c r="E22" s="9">
        <f t="shared" si="8"/>
        <v>1275839048.6399999</v>
      </c>
      <c r="F22" s="9">
        <f t="shared" si="8"/>
        <v>1365147782.0448</v>
      </c>
      <c r="G22" s="9">
        <f t="shared" si="8"/>
        <v>1474359604.6083841</v>
      </c>
    </row>
    <row r="23" spans="1:9">
      <c r="H23" s="33" t="s">
        <v>106</v>
      </c>
      <c r="I23" s="44">
        <f>I21/I13</f>
        <v>100.0950693182547</v>
      </c>
    </row>
    <row r="24" spans="1:9">
      <c r="A24" s="45" t="s">
        <v>107</v>
      </c>
    </row>
    <row r="25" spans="1:9">
      <c r="A25" s="46" t="s">
        <v>108</v>
      </c>
      <c r="B25" s="46" t="s">
        <v>7</v>
      </c>
      <c r="C25" s="46" t="s">
        <v>57</v>
      </c>
      <c r="D25" s="46" t="s">
        <v>58</v>
      </c>
      <c r="E25" s="46" t="s">
        <v>59</v>
      </c>
      <c r="F25" s="46" t="s">
        <v>60</v>
      </c>
      <c r="G25" s="46" t="s">
        <v>61</v>
      </c>
    </row>
    <row r="26" spans="1:9">
      <c r="A26" s="47" t="s">
        <v>109</v>
      </c>
      <c r="B26" s="38">
        <f t="shared" ref="B26:G26" si="9">B21</f>
        <v>475642496</v>
      </c>
      <c r="C26" s="38">
        <f t="shared" si="9"/>
        <v>482346120</v>
      </c>
      <c r="D26" s="38">
        <f t="shared" si="9"/>
        <v>695206657.5999999</v>
      </c>
      <c r="E26" s="38">
        <f t="shared" si="9"/>
        <v>669582011.07200015</v>
      </c>
      <c r="F26" s="38">
        <f t="shared" si="9"/>
        <v>761111196.39359999</v>
      </c>
      <c r="G26" s="38">
        <f t="shared" si="9"/>
        <v>839856819.09143043</v>
      </c>
    </row>
    <row r="27" spans="1:9">
      <c r="A27" s="47" t="s">
        <v>110</v>
      </c>
      <c r="B27" s="38" t="s">
        <v>111</v>
      </c>
      <c r="C27" s="38">
        <f>C26/(1+I2)^1</f>
        <v>446623949.23780441</v>
      </c>
      <c r="D27" s="38">
        <f>D26/(1+I2)^2</f>
        <v>596046797.03733587</v>
      </c>
      <c r="E27" s="38">
        <f>E26/(1+I2)^3</f>
        <v>531561393.89764786</v>
      </c>
      <c r="F27" s="38">
        <f>F26/(1+I2)^4</f>
        <v>559475383.8629669</v>
      </c>
      <c r="G27" s="38">
        <f>G26/(1+I2)^5</f>
        <v>571638331.62081814</v>
      </c>
    </row>
    <row r="29" spans="1:9">
      <c r="A29" s="33" t="s">
        <v>112</v>
      </c>
      <c r="B29" s="48">
        <f>SUM(C27:G27)</f>
        <v>2705345855.6565733</v>
      </c>
    </row>
    <row r="32" spans="1:9">
      <c r="A32" s="108" t="s">
        <v>128</v>
      </c>
      <c r="B32" s="102"/>
    </row>
    <row r="33" spans="1:8">
      <c r="H33" s="49"/>
    </row>
    <row r="34" spans="1:8">
      <c r="A34" s="50" t="s">
        <v>114</v>
      </c>
      <c r="B34" s="50" t="s">
        <v>115</v>
      </c>
      <c r="C34" s="50" t="s">
        <v>116</v>
      </c>
      <c r="D34" s="50" t="s">
        <v>117</v>
      </c>
      <c r="E34" s="50" t="s">
        <v>118</v>
      </c>
      <c r="H34" s="49"/>
    </row>
    <row r="35" spans="1:8">
      <c r="A35" s="51" t="s">
        <v>119</v>
      </c>
      <c r="B35" s="52">
        <v>113.65</v>
      </c>
      <c r="C35" s="52">
        <v>124.86</v>
      </c>
      <c r="D35" s="52">
        <v>138.56</v>
      </c>
      <c r="E35" s="52">
        <v>155.69</v>
      </c>
    </row>
    <row r="36" spans="1:8">
      <c r="A36" s="51" t="s">
        <v>120</v>
      </c>
      <c r="B36" s="52">
        <v>102.16</v>
      </c>
      <c r="C36" s="52">
        <v>111.33</v>
      </c>
      <c r="D36" s="52">
        <v>122.33</v>
      </c>
      <c r="E36" s="52">
        <v>135.78</v>
      </c>
    </row>
    <row r="37" spans="1:8">
      <c r="A37" s="51" t="s">
        <v>121</v>
      </c>
      <c r="B37" s="52">
        <v>92.44</v>
      </c>
      <c r="C37" s="53">
        <v>100.1</v>
      </c>
      <c r="D37" s="52">
        <v>109.06</v>
      </c>
      <c r="E37" s="52">
        <v>119.86</v>
      </c>
    </row>
    <row r="38" spans="1:8">
      <c r="A38" s="51" t="s">
        <v>122</v>
      </c>
      <c r="B38" s="52">
        <v>84.12</v>
      </c>
      <c r="C38" s="52">
        <v>90.53</v>
      </c>
      <c r="D38" s="52">
        <v>98.01</v>
      </c>
      <c r="E38" s="52">
        <v>106.84</v>
      </c>
    </row>
    <row r="39" spans="1:8">
      <c r="A39" s="51" t="s">
        <v>123</v>
      </c>
      <c r="B39" s="52">
        <v>76.91</v>
      </c>
      <c r="C39" s="52">
        <v>82.37</v>
      </c>
      <c r="D39" s="52">
        <v>88.66</v>
      </c>
      <c r="E39" s="52">
        <v>96</v>
      </c>
    </row>
    <row r="42" spans="1:8">
      <c r="B42" s="54"/>
      <c r="C42" s="54"/>
      <c r="D42" s="54"/>
      <c r="E42" s="54"/>
      <c r="F42" s="54"/>
    </row>
    <row r="43" spans="1:8">
      <c r="B43" s="54"/>
      <c r="C43" s="54"/>
      <c r="D43" s="54"/>
      <c r="E43" s="54"/>
      <c r="F43" s="54"/>
    </row>
  </sheetData>
  <mergeCells count="6">
    <mergeCell ref="A32:B32"/>
    <mergeCell ref="A2:G2"/>
    <mergeCell ref="A4:G4"/>
    <mergeCell ref="A7:G7"/>
    <mergeCell ref="A10:G10"/>
    <mergeCell ref="A18:G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G29"/>
  <sheetViews>
    <sheetView workbookViewId="0">
      <selection activeCell="B1" sqref="B1"/>
    </sheetView>
  </sheetViews>
  <sheetFormatPr baseColWidth="10" defaultColWidth="14.5" defaultRowHeight="15" customHeight="1"/>
  <cols>
    <col min="1" max="1" width="25.5" customWidth="1"/>
    <col min="2" max="2" width="21.5" customWidth="1"/>
    <col min="3" max="3" width="28.5" customWidth="1"/>
    <col min="4" max="4" width="29" customWidth="1"/>
    <col min="5" max="5" width="30.5" customWidth="1"/>
    <col min="6" max="6" width="25.1640625" customWidth="1"/>
    <col min="7" max="7" width="22.1640625" customWidth="1"/>
  </cols>
  <sheetData>
    <row r="2" spans="1:7">
      <c r="A2" s="45" t="s">
        <v>129</v>
      </c>
    </row>
    <row r="3" spans="1:7">
      <c r="A3" s="56" t="s">
        <v>130</v>
      </c>
      <c r="B3" s="57" t="s">
        <v>131</v>
      </c>
      <c r="C3" s="57" t="s">
        <v>132</v>
      </c>
      <c r="D3" s="57" t="s">
        <v>133</v>
      </c>
      <c r="E3" s="57" t="s">
        <v>134</v>
      </c>
    </row>
    <row r="4" spans="1:7">
      <c r="A4" s="58" t="s">
        <v>135</v>
      </c>
      <c r="B4" s="59" t="s">
        <v>136</v>
      </c>
      <c r="C4" s="60">
        <v>5.84</v>
      </c>
      <c r="D4" s="60">
        <v>21.8</v>
      </c>
      <c r="E4" s="60">
        <v>12.6</v>
      </c>
      <c r="F4" s="61" t="s">
        <v>137</v>
      </c>
      <c r="G4" s="61" t="s">
        <v>138</v>
      </c>
    </row>
    <row r="5" spans="1:7">
      <c r="A5" s="58" t="s">
        <v>139</v>
      </c>
      <c r="B5" s="59" t="s">
        <v>140</v>
      </c>
      <c r="C5" s="60">
        <v>5.74</v>
      </c>
      <c r="D5" s="60">
        <v>16.600000000000001</v>
      </c>
      <c r="E5" s="60">
        <v>12.4</v>
      </c>
      <c r="F5" s="62">
        <v>1252560000</v>
      </c>
      <c r="G5" s="63">
        <v>688908000</v>
      </c>
    </row>
    <row r="6" spans="1:7">
      <c r="A6" s="58" t="s">
        <v>141</v>
      </c>
      <c r="B6" s="59" t="s">
        <v>142</v>
      </c>
      <c r="C6" s="60">
        <v>7.87</v>
      </c>
      <c r="D6" s="60">
        <v>11.2</v>
      </c>
      <c r="E6" s="60">
        <v>12.3</v>
      </c>
    </row>
    <row r="7" spans="1:7">
      <c r="A7" s="58" t="s">
        <v>143</v>
      </c>
      <c r="B7" s="59" t="s">
        <v>144</v>
      </c>
      <c r="C7" s="60">
        <v>7.52</v>
      </c>
      <c r="D7" s="60">
        <v>20.5</v>
      </c>
      <c r="E7" s="60">
        <v>11.7</v>
      </c>
    </row>
    <row r="8" spans="1:7">
      <c r="A8" s="56" t="s">
        <v>145</v>
      </c>
      <c r="B8" s="59" t="s">
        <v>111</v>
      </c>
      <c r="C8" s="64">
        <f t="shared" ref="C8:E8" si="0">MEDIAN(C4:C7)</f>
        <v>6.68</v>
      </c>
      <c r="D8" s="65">
        <f t="shared" si="0"/>
        <v>18.55</v>
      </c>
      <c r="E8" s="65">
        <f t="shared" si="0"/>
        <v>12.350000000000001</v>
      </c>
    </row>
    <row r="9" spans="1:7">
      <c r="A9" s="32" t="s">
        <v>146</v>
      </c>
    </row>
    <row r="11" spans="1:7">
      <c r="A11" s="45" t="s">
        <v>147</v>
      </c>
    </row>
    <row r="12" spans="1:7">
      <c r="A12" s="56" t="s">
        <v>148</v>
      </c>
      <c r="B12" s="57" t="s">
        <v>149</v>
      </c>
      <c r="C12" s="57" t="s">
        <v>150</v>
      </c>
      <c r="D12" s="57" t="s">
        <v>151</v>
      </c>
      <c r="E12" s="57" t="s">
        <v>152</v>
      </c>
      <c r="F12" s="57" t="s">
        <v>153</v>
      </c>
    </row>
    <row r="13" spans="1:7">
      <c r="A13" s="66" t="s">
        <v>154</v>
      </c>
      <c r="B13" s="67">
        <f>C8</f>
        <v>6.68</v>
      </c>
      <c r="C13" s="68">
        <f>1252560000*B13</f>
        <v>8367100800</v>
      </c>
      <c r="D13" s="68">
        <v>2024000000</v>
      </c>
      <c r="E13" s="68">
        <f>C13-D13</f>
        <v>6343100800</v>
      </c>
      <c r="F13" s="69">
        <f t="shared" ref="F13:F15" si="1">E13/103921273</f>
        <v>61.03755869118347</v>
      </c>
    </row>
    <row r="14" spans="1:7">
      <c r="A14" s="66" t="s">
        <v>155</v>
      </c>
      <c r="B14" s="70">
        <f>D8</f>
        <v>18.55</v>
      </c>
      <c r="C14" s="68"/>
      <c r="D14" s="68"/>
      <c r="E14" s="68">
        <f>409570080 * B14</f>
        <v>7597524984</v>
      </c>
      <c r="F14" s="69">
        <f t="shared" si="1"/>
        <v>73.108467252898265</v>
      </c>
    </row>
    <row r="15" spans="1:7">
      <c r="A15" s="66" t="s">
        <v>156</v>
      </c>
      <c r="B15" s="70">
        <f>E8</f>
        <v>12.350000000000001</v>
      </c>
      <c r="C15" s="68">
        <f>688908000 * B15</f>
        <v>8508013800.000001</v>
      </c>
      <c r="D15" s="68">
        <v>2024000000</v>
      </c>
      <c r="E15" s="68">
        <f>C15-D15</f>
        <v>6484013800.000001</v>
      </c>
      <c r="F15" s="69">
        <f t="shared" si="1"/>
        <v>62.393517831522338</v>
      </c>
    </row>
    <row r="19" spans="1:6">
      <c r="A19" s="45" t="s">
        <v>157</v>
      </c>
    </row>
    <row r="20" spans="1:6">
      <c r="A20" s="56" t="s">
        <v>158</v>
      </c>
      <c r="B20" s="56" t="s">
        <v>159</v>
      </c>
      <c r="C20" s="56" t="s">
        <v>150</v>
      </c>
      <c r="D20" s="56" t="s">
        <v>151</v>
      </c>
      <c r="E20" s="56" t="s">
        <v>160</v>
      </c>
      <c r="F20" s="56" t="s">
        <v>161</v>
      </c>
    </row>
    <row r="21" spans="1:6">
      <c r="A21" s="66" t="s">
        <v>162</v>
      </c>
      <c r="B21" s="37">
        <v>5.8</v>
      </c>
      <c r="C21" s="68">
        <f>1252560000*B21</f>
        <v>7264848000</v>
      </c>
      <c r="D21" s="68">
        <v>2024000000</v>
      </c>
      <c r="E21" s="68">
        <f t="shared" ref="E21:E23" si="2">C21-D21</f>
        <v>5240848000</v>
      </c>
      <c r="F21" s="68">
        <f t="shared" ref="F21:F29" si="3">E21/103921273</f>
        <v>50.430944971199494</v>
      </c>
    </row>
    <row r="22" spans="1:6">
      <c r="A22" s="56" t="s">
        <v>163</v>
      </c>
      <c r="B22" s="71">
        <f>C8</f>
        <v>6.68</v>
      </c>
      <c r="C22" s="68">
        <f>1252560000*B22</f>
        <v>8367100800</v>
      </c>
      <c r="D22" s="68">
        <v>2024000000</v>
      </c>
      <c r="E22" s="68">
        <f t="shared" si="2"/>
        <v>6343100800</v>
      </c>
      <c r="F22" s="72">
        <f t="shared" si="3"/>
        <v>61.03755869118347</v>
      </c>
    </row>
    <row r="23" spans="1:6">
      <c r="A23" s="66" t="s">
        <v>164</v>
      </c>
      <c r="B23" s="37">
        <v>8.5</v>
      </c>
      <c r="C23" s="68">
        <f>1252560000*B23</f>
        <v>10646760000</v>
      </c>
      <c r="D23" s="68">
        <v>2024000000</v>
      </c>
      <c r="E23" s="68">
        <f t="shared" si="2"/>
        <v>8622760000</v>
      </c>
      <c r="F23" s="68">
        <f t="shared" si="3"/>
        <v>82.973964339332142</v>
      </c>
    </row>
    <row r="24" spans="1:6">
      <c r="A24" s="66" t="s">
        <v>165</v>
      </c>
      <c r="B24" s="37">
        <v>15</v>
      </c>
      <c r="C24" s="68" t="s">
        <v>111</v>
      </c>
      <c r="D24" s="68" t="s">
        <v>111</v>
      </c>
      <c r="E24" s="68">
        <f t="shared" ref="E24:E26" si="4">409570080*B24</f>
        <v>6143551200</v>
      </c>
      <c r="F24" s="68">
        <f t="shared" si="3"/>
        <v>59.117358964607753</v>
      </c>
    </row>
    <row r="25" spans="1:6">
      <c r="A25" s="56" t="s">
        <v>166</v>
      </c>
      <c r="B25" s="73">
        <f>D8</f>
        <v>18.55</v>
      </c>
      <c r="C25" s="68" t="s">
        <v>111</v>
      </c>
      <c r="D25" s="68" t="s">
        <v>111</v>
      </c>
      <c r="E25" s="68">
        <f t="shared" si="4"/>
        <v>7597524984</v>
      </c>
      <c r="F25" s="72">
        <f t="shared" si="3"/>
        <v>73.108467252898265</v>
      </c>
    </row>
    <row r="26" spans="1:6">
      <c r="A26" s="66" t="s">
        <v>167</v>
      </c>
      <c r="B26" s="37">
        <v>21</v>
      </c>
      <c r="C26" s="68" t="s">
        <v>111</v>
      </c>
      <c r="D26" s="68" t="s">
        <v>111</v>
      </c>
      <c r="E26" s="68">
        <f t="shared" si="4"/>
        <v>8600971680</v>
      </c>
      <c r="F26" s="68">
        <f t="shared" si="3"/>
        <v>82.764302550450864</v>
      </c>
    </row>
    <row r="27" spans="1:6">
      <c r="A27" s="66" t="s">
        <v>168</v>
      </c>
      <c r="B27" s="37">
        <v>11</v>
      </c>
      <c r="C27" s="68">
        <f>G5*B27</f>
        <v>7577988000</v>
      </c>
      <c r="D27" s="68">
        <v>2024000000</v>
      </c>
      <c r="E27" s="68">
        <f t="shared" ref="E27:E29" si="5">C27-D27</f>
        <v>5553988000</v>
      </c>
      <c r="F27" s="68">
        <f t="shared" si="3"/>
        <v>53.444187505285853</v>
      </c>
    </row>
    <row r="28" spans="1:6">
      <c r="A28" s="56" t="s">
        <v>169</v>
      </c>
      <c r="B28" s="73">
        <f>E8</f>
        <v>12.350000000000001</v>
      </c>
      <c r="C28" s="68">
        <f>G5*B28</f>
        <v>8508013800.000001</v>
      </c>
      <c r="D28" s="68">
        <v>2024000000</v>
      </c>
      <c r="E28" s="68">
        <f t="shared" si="5"/>
        <v>6484013800.000001</v>
      </c>
      <c r="F28" s="72">
        <f t="shared" si="3"/>
        <v>62.393517831522338</v>
      </c>
    </row>
    <row r="29" spans="1:6">
      <c r="A29" s="66" t="s">
        <v>170</v>
      </c>
      <c r="B29" s="37">
        <v>14</v>
      </c>
      <c r="C29" s="68">
        <f>G5*B29</f>
        <v>9644712000</v>
      </c>
      <c r="D29" s="68">
        <v>2024000000</v>
      </c>
      <c r="E29" s="68">
        <f t="shared" si="5"/>
        <v>7620712000</v>
      </c>
      <c r="F29" s="68">
        <f t="shared" si="3"/>
        <v>73.331588230255804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B5:N29"/>
  <sheetViews>
    <sheetView tabSelected="1" workbookViewId="0">
      <selection activeCell="F42" sqref="F42"/>
    </sheetView>
  </sheetViews>
  <sheetFormatPr baseColWidth="10" defaultColWidth="14.5" defaultRowHeight="15" customHeight="1"/>
  <cols>
    <col min="9" max="9" width="30.83203125" customWidth="1"/>
    <col min="10" max="10" width="15.5" customWidth="1"/>
  </cols>
  <sheetData>
    <row r="5" spans="9:14">
      <c r="I5" s="33" t="s">
        <v>171</v>
      </c>
      <c r="J5" s="74" t="s">
        <v>172</v>
      </c>
      <c r="K5" s="74" t="s">
        <v>173</v>
      </c>
      <c r="L5" s="74" t="s">
        <v>174</v>
      </c>
    </row>
    <row r="6" spans="9:14">
      <c r="I6" s="47" t="s">
        <v>175</v>
      </c>
      <c r="J6" s="41">
        <v>59.12</v>
      </c>
      <c r="K6" s="41">
        <f t="shared" ref="K6:K11" si="0">L6-J6</f>
        <v>23.640000000000008</v>
      </c>
      <c r="L6" s="41">
        <v>82.76</v>
      </c>
    </row>
    <row r="7" spans="9:14">
      <c r="I7" s="47" t="s">
        <v>176</v>
      </c>
      <c r="J7" s="41">
        <v>50.43</v>
      </c>
      <c r="K7" s="41">
        <f t="shared" si="0"/>
        <v>32.54</v>
      </c>
      <c r="L7" s="41">
        <v>82.97</v>
      </c>
    </row>
    <row r="8" spans="9:14">
      <c r="I8" s="47" t="s">
        <v>177</v>
      </c>
      <c r="J8" s="37">
        <v>53.44</v>
      </c>
      <c r="K8" s="41">
        <f t="shared" si="0"/>
        <v>19.89</v>
      </c>
      <c r="L8" s="37">
        <v>73.33</v>
      </c>
    </row>
    <row r="9" spans="9:14">
      <c r="I9" s="47" t="s">
        <v>178</v>
      </c>
      <c r="J9" s="41">
        <v>76.91</v>
      </c>
      <c r="K9" s="41">
        <f t="shared" si="0"/>
        <v>78.78</v>
      </c>
      <c r="L9" s="41">
        <v>155.69</v>
      </c>
      <c r="N9" s="75"/>
    </row>
    <row r="10" spans="9:14">
      <c r="I10" s="47" t="s">
        <v>179</v>
      </c>
      <c r="J10" s="41">
        <v>61.95</v>
      </c>
      <c r="K10" s="41">
        <f t="shared" si="0"/>
        <v>64.69</v>
      </c>
      <c r="L10" s="41">
        <v>126.64</v>
      </c>
      <c r="N10" s="76"/>
    </row>
    <row r="11" spans="9:14">
      <c r="I11" s="47" t="s">
        <v>180</v>
      </c>
      <c r="J11" s="41">
        <v>45.35</v>
      </c>
      <c r="K11" s="41">
        <f t="shared" si="0"/>
        <v>52.13</v>
      </c>
      <c r="L11" s="41">
        <v>97.48</v>
      </c>
      <c r="N11" s="76"/>
    </row>
    <row r="12" spans="9:14">
      <c r="N12" s="76"/>
    </row>
    <row r="13" spans="9:14">
      <c r="J13" s="77"/>
      <c r="K13" s="78"/>
      <c r="L13" s="78"/>
      <c r="M13" s="78"/>
      <c r="N13" s="78"/>
    </row>
    <row r="14" spans="9:14">
      <c r="J14" s="77"/>
      <c r="K14" s="76"/>
      <c r="L14" s="76"/>
      <c r="M14" s="76"/>
      <c r="N14" s="76"/>
    </row>
    <row r="15" spans="9:14">
      <c r="J15" s="77"/>
      <c r="K15" s="76"/>
      <c r="L15" s="76"/>
      <c r="M15" s="76"/>
      <c r="N15" s="76"/>
    </row>
    <row r="16" spans="9:14">
      <c r="J16" s="77"/>
      <c r="K16" s="76"/>
      <c r="L16" s="76"/>
      <c r="M16" s="76"/>
      <c r="N16" s="76"/>
    </row>
    <row r="17" spans="2:14">
      <c r="J17" s="77"/>
      <c r="K17" s="78"/>
      <c r="L17" s="78"/>
      <c r="M17" s="78"/>
      <c r="N17" s="78"/>
    </row>
    <row r="18" spans="2:14">
      <c r="J18" s="77"/>
      <c r="K18" s="76"/>
      <c r="L18" s="76"/>
      <c r="M18" s="78"/>
      <c r="N18" s="78"/>
    </row>
    <row r="29" spans="2:14" ht="15" customHeight="1">
      <c r="B29" s="109" t="s">
        <v>284</v>
      </c>
      <c r="C29" s="109"/>
    </row>
  </sheetData>
  <mergeCells count="1">
    <mergeCell ref="B29:C2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1000"/>
  <sheetViews>
    <sheetView topLeftCell="A25" workbookViewId="0"/>
  </sheetViews>
  <sheetFormatPr baseColWidth="10" defaultColWidth="14.5" defaultRowHeight="15" customHeight="1"/>
  <cols>
    <col min="1" max="1" width="68.6640625" customWidth="1"/>
    <col min="2" max="2" width="30.5" customWidth="1"/>
    <col min="3" max="3" width="18.1640625" customWidth="1"/>
    <col min="4" max="4" width="69.5" customWidth="1"/>
  </cols>
  <sheetData>
    <row r="1" spans="1:5">
      <c r="A1" s="79" t="s">
        <v>181</v>
      </c>
      <c r="B1" s="80"/>
      <c r="C1" s="80"/>
      <c r="D1" s="81"/>
    </row>
    <row r="2" spans="1:5">
      <c r="B2" s="80"/>
      <c r="C2" s="80"/>
      <c r="D2" s="81"/>
    </row>
    <row r="3" spans="1:5">
      <c r="A3" s="82" t="s">
        <v>182</v>
      </c>
      <c r="B3" s="82" t="s">
        <v>183</v>
      </c>
      <c r="C3" s="82" t="s">
        <v>184</v>
      </c>
      <c r="D3" s="82" t="s">
        <v>185</v>
      </c>
    </row>
    <row r="4" spans="1:5">
      <c r="A4" s="56" t="s">
        <v>186</v>
      </c>
      <c r="B4" s="83"/>
      <c r="C4" s="84">
        <v>46162</v>
      </c>
      <c r="D4" s="84"/>
    </row>
    <row r="5" spans="1:5">
      <c r="A5" s="37" t="s">
        <v>187</v>
      </c>
      <c r="B5" s="85"/>
      <c r="C5" s="85"/>
      <c r="D5" s="81"/>
    </row>
    <row r="6" spans="1:5">
      <c r="A6" s="81" t="s">
        <v>188</v>
      </c>
      <c r="B6" s="85" t="s">
        <v>189</v>
      </c>
      <c r="C6" s="86">
        <v>46063</v>
      </c>
      <c r="D6" s="81" t="s">
        <v>190</v>
      </c>
      <c r="E6" s="87" t="s">
        <v>191</v>
      </c>
    </row>
    <row r="7" spans="1:5">
      <c r="A7" s="37" t="s">
        <v>192</v>
      </c>
      <c r="B7" s="85"/>
      <c r="C7" s="85"/>
      <c r="D7" s="81"/>
    </row>
    <row r="8" spans="1:5">
      <c r="A8" s="80" t="s">
        <v>193</v>
      </c>
      <c r="B8" s="88">
        <f>(56.36-67.14)/67.14</f>
        <v>-0.16056002383080131</v>
      </c>
      <c r="C8" s="89">
        <v>46091</v>
      </c>
      <c r="D8" s="81" t="s">
        <v>194</v>
      </c>
    </row>
    <row r="9" spans="1:5">
      <c r="A9" s="90"/>
      <c r="B9" s="85"/>
      <c r="C9" s="85"/>
      <c r="D9" s="81"/>
    </row>
    <row r="10" spans="1:5">
      <c r="A10" s="91" t="s">
        <v>195</v>
      </c>
      <c r="B10" s="92"/>
      <c r="C10" s="93">
        <v>46183</v>
      </c>
      <c r="D10" s="83"/>
    </row>
    <row r="11" spans="1:5">
      <c r="A11" s="37" t="s">
        <v>196</v>
      </c>
      <c r="B11" s="85"/>
      <c r="C11" s="85"/>
      <c r="D11" s="81"/>
    </row>
    <row r="12" spans="1:5">
      <c r="A12" s="81" t="s">
        <v>197</v>
      </c>
      <c r="B12" s="88">
        <f>(3.15%+3.1%+3.08%+2.79%) / 66.71%</f>
        <v>0.18168190676060564</v>
      </c>
      <c r="C12" s="89">
        <v>46183</v>
      </c>
      <c r="D12" s="81" t="s">
        <v>198</v>
      </c>
      <c r="E12" s="61" t="s">
        <v>199</v>
      </c>
    </row>
    <row r="13" spans="1:5">
      <c r="A13" s="37" t="s">
        <v>200</v>
      </c>
      <c r="B13" s="85"/>
      <c r="C13" s="85"/>
      <c r="D13" s="81"/>
    </row>
    <row r="14" spans="1:5">
      <c r="A14" s="81" t="s">
        <v>201</v>
      </c>
      <c r="B14" s="85" t="s">
        <v>202</v>
      </c>
      <c r="C14" s="85"/>
      <c r="D14" s="81"/>
    </row>
    <row r="15" spans="1:5">
      <c r="A15" s="90"/>
      <c r="B15" s="85"/>
      <c r="C15" s="85"/>
      <c r="D15" s="81"/>
    </row>
    <row r="16" spans="1:5">
      <c r="A16" s="91" t="s">
        <v>203</v>
      </c>
      <c r="B16" s="92"/>
      <c r="C16" s="94" t="s">
        <v>204</v>
      </c>
      <c r="D16" s="83"/>
    </row>
    <row r="17" spans="1:4">
      <c r="A17" s="90" t="s">
        <v>205</v>
      </c>
      <c r="B17" s="85"/>
      <c r="C17" s="95"/>
      <c r="D17" s="81"/>
    </row>
    <row r="18" spans="1:4">
      <c r="A18" s="80" t="s">
        <v>206</v>
      </c>
      <c r="B18" s="85" t="s">
        <v>207</v>
      </c>
      <c r="C18" s="89">
        <v>46117</v>
      </c>
      <c r="D18" s="81" t="s">
        <v>208</v>
      </c>
    </row>
    <row r="19" spans="1:4">
      <c r="A19" s="90" t="s">
        <v>209</v>
      </c>
      <c r="B19" s="85"/>
      <c r="C19" s="85"/>
      <c r="D19" s="81"/>
    </row>
    <row r="20" spans="1:4">
      <c r="A20" s="81" t="s">
        <v>210</v>
      </c>
      <c r="B20" s="85"/>
      <c r="C20" s="85" t="s">
        <v>211</v>
      </c>
      <c r="D20" s="81"/>
    </row>
    <row r="21" spans="1:4">
      <c r="A21" s="81" t="s">
        <v>212</v>
      </c>
      <c r="B21" s="85" t="s">
        <v>213</v>
      </c>
      <c r="C21" s="89">
        <v>46055</v>
      </c>
      <c r="D21" s="81"/>
    </row>
    <row r="22" spans="1:4">
      <c r="A22" s="81" t="s">
        <v>214</v>
      </c>
      <c r="B22" s="96">
        <v>0.6</v>
      </c>
      <c r="C22" s="89">
        <v>46023</v>
      </c>
      <c r="D22" s="81" t="s">
        <v>215</v>
      </c>
    </row>
    <row r="23" spans="1:4">
      <c r="A23" s="90" t="s">
        <v>216</v>
      </c>
      <c r="B23" s="85"/>
      <c r="C23" s="85"/>
      <c r="D23" s="81"/>
    </row>
    <row r="24" spans="1:4">
      <c r="A24" s="80" t="s">
        <v>217</v>
      </c>
      <c r="B24" s="85"/>
      <c r="C24" s="89">
        <v>46058</v>
      </c>
      <c r="D24" s="81"/>
    </row>
    <row r="25" spans="1:4">
      <c r="A25" s="90" t="s">
        <v>218</v>
      </c>
      <c r="B25" s="85"/>
      <c r="C25" s="85"/>
      <c r="D25" s="81"/>
    </row>
    <row r="26" spans="1:4">
      <c r="A26" s="81" t="s">
        <v>219</v>
      </c>
      <c r="B26" s="85" t="s">
        <v>220</v>
      </c>
      <c r="C26" s="89">
        <v>46117</v>
      </c>
      <c r="D26" s="81" t="s">
        <v>221</v>
      </c>
    </row>
    <row r="27" spans="1:4">
      <c r="A27" s="81" t="s">
        <v>222</v>
      </c>
      <c r="B27" s="85"/>
      <c r="C27" s="85" t="s">
        <v>223</v>
      </c>
      <c r="D27" s="81"/>
    </row>
    <row r="28" spans="1:4">
      <c r="A28" s="81" t="s">
        <v>224</v>
      </c>
      <c r="B28" s="85">
        <v>20</v>
      </c>
      <c r="C28" s="85" t="s">
        <v>223</v>
      </c>
      <c r="D28" s="81" t="s">
        <v>225</v>
      </c>
    </row>
    <row r="29" spans="1:4">
      <c r="A29" s="90"/>
      <c r="B29" s="85"/>
      <c r="C29" s="85"/>
      <c r="D29" s="81"/>
    </row>
    <row r="30" spans="1:4">
      <c r="A30" s="91" t="s">
        <v>226</v>
      </c>
      <c r="B30" s="94"/>
      <c r="C30" s="94" t="s">
        <v>227</v>
      </c>
      <c r="D30" s="83"/>
    </row>
    <row r="31" spans="1:4">
      <c r="A31" s="37" t="s">
        <v>228</v>
      </c>
      <c r="B31" s="85"/>
      <c r="C31" s="85"/>
      <c r="D31" s="81"/>
    </row>
    <row r="32" spans="1:4">
      <c r="A32" s="81" t="s">
        <v>229</v>
      </c>
      <c r="B32" s="85" t="s">
        <v>230</v>
      </c>
      <c r="C32" s="89">
        <v>46084</v>
      </c>
      <c r="D32" s="81" t="s">
        <v>231</v>
      </c>
    </row>
    <row r="33" spans="1:4">
      <c r="A33" s="81" t="s">
        <v>232</v>
      </c>
      <c r="B33" s="85" t="s">
        <v>233</v>
      </c>
      <c r="C33" s="89">
        <v>46055</v>
      </c>
      <c r="D33" s="85" t="s">
        <v>234</v>
      </c>
    </row>
    <row r="34" spans="1:4">
      <c r="A34" s="37" t="s">
        <v>235</v>
      </c>
      <c r="B34" s="85"/>
      <c r="C34" s="85"/>
      <c r="D34" s="81"/>
    </row>
    <row r="35" spans="1:4">
      <c r="A35" s="81" t="s">
        <v>236</v>
      </c>
      <c r="B35" s="85" t="s">
        <v>237</v>
      </c>
      <c r="C35" s="89">
        <v>46055</v>
      </c>
      <c r="D35" s="37" t="s">
        <v>238</v>
      </c>
    </row>
    <row r="36" spans="1:4">
      <c r="A36" s="81" t="s">
        <v>239</v>
      </c>
      <c r="B36" s="85" t="s">
        <v>237</v>
      </c>
      <c r="C36" s="89">
        <v>46084</v>
      </c>
      <c r="D36" s="37" t="s">
        <v>240</v>
      </c>
    </row>
    <row r="37" spans="1:4">
      <c r="A37" s="37" t="s">
        <v>241</v>
      </c>
      <c r="B37" s="85"/>
      <c r="C37" s="85"/>
      <c r="D37" s="81"/>
    </row>
    <row r="38" spans="1:4">
      <c r="A38" s="81" t="s">
        <v>242</v>
      </c>
      <c r="B38" s="85" t="s">
        <v>230</v>
      </c>
      <c r="C38" s="89">
        <v>46084</v>
      </c>
      <c r="D38" s="37" t="s">
        <v>243</v>
      </c>
    </row>
    <row r="39" spans="1:4">
      <c r="A39" s="81" t="s">
        <v>244</v>
      </c>
      <c r="B39" s="85" t="s">
        <v>233</v>
      </c>
      <c r="C39" s="89">
        <v>46055</v>
      </c>
      <c r="D39" s="37" t="s">
        <v>245</v>
      </c>
    </row>
    <row r="40" spans="1:4">
      <c r="A40" s="37" t="s">
        <v>246</v>
      </c>
      <c r="B40" s="85"/>
      <c r="C40" s="85"/>
      <c r="D40" s="81"/>
    </row>
    <row r="41" spans="1:4">
      <c r="A41" s="81" t="s">
        <v>247</v>
      </c>
      <c r="B41" s="85" t="s">
        <v>248</v>
      </c>
      <c r="C41" s="85" t="s">
        <v>211</v>
      </c>
      <c r="D41" s="81" t="s">
        <v>249</v>
      </c>
    </row>
    <row r="42" spans="1:4">
      <c r="A42" s="81" t="s">
        <v>250</v>
      </c>
      <c r="B42" s="85" t="s">
        <v>251</v>
      </c>
      <c r="C42" s="89">
        <v>46084</v>
      </c>
      <c r="D42" s="81" t="s">
        <v>252</v>
      </c>
    </row>
    <row r="43" spans="1:4">
      <c r="A43" s="90"/>
      <c r="B43" s="85"/>
      <c r="C43" s="85"/>
      <c r="D43" s="81"/>
    </row>
    <row r="44" spans="1:4">
      <c r="A44" s="91" t="s">
        <v>253</v>
      </c>
      <c r="B44" s="94"/>
      <c r="C44" s="94" t="s">
        <v>254</v>
      </c>
      <c r="D44" s="83"/>
    </row>
    <row r="45" spans="1:4">
      <c r="A45" s="90" t="s">
        <v>255</v>
      </c>
      <c r="B45" s="85"/>
      <c r="C45" s="85"/>
      <c r="D45" s="81"/>
    </row>
    <row r="46" spans="1:4">
      <c r="A46" s="85" t="s">
        <v>256</v>
      </c>
      <c r="B46" s="85" t="s">
        <v>257</v>
      </c>
      <c r="C46" s="89">
        <v>46055</v>
      </c>
      <c r="D46" s="81" t="s">
        <v>258</v>
      </c>
    </row>
    <row r="47" spans="1:4">
      <c r="A47" s="85" t="s">
        <v>259</v>
      </c>
      <c r="B47" s="85" t="s">
        <v>257</v>
      </c>
      <c r="C47" s="89">
        <v>46055</v>
      </c>
      <c r="D47" s="81" t="s">
        <v>257</v>
      </c>
    </row>
    <row r="48" spans="1:4">
      <c r="A48" s="85" t="s">
        <v>260</v>
      </c>
      <c r="B48" s="85" t="s">
        <v>257</v>
      </c>
      <c r="C48" s="89">
        <v>46055</v>
      </c>
      <c r="D48" s="81"/>
    </row>
    <row r="49" spans="1:5">
      <c r="A49" s="85" t="s">
        <v>261</v>
      </c>
      <c r="B49" s="85" t="s">
        <v>257</v>
      </c>
      <c r="C49" s="89">
        <v>46055</v>
      </c>
      <c r="D49" s="81"/>
    </row>
    <row r="50" spans="1:5">
      <c r="A50" s="85" t="s">
        <v>262</v>
      </c>
      <c r="B50" s="85" t="s">
        <v>263</v>
      </c>
      <c r="C50" s="89">
        <v>46024</v>
      </c>
      <c r="D50" s="61" t="s">
        <v>264</v>
      </c>
    </row>
    <row r="51" spans="1:5">
      <c r="A51" s="90" t="s">
        <v>265</v>
      </c>
      <c r="B51" s="85"/>
      <c r="C51" s="85"/>
      <c r="D51" s="81"/>
    </row>
    <row r="52" spans="1:5">
      <c r="A52" s="85" t="s">
        <v>266</v>
      </c>
      <c r="B52" s="85" t="s">
        <v>267</v>
      </c>
      <c r="C52" s="89">
        <v>46024</v>
      </c>
      <c r="D52" s="81" t="s">
        <v>268</v>
      </c>
      <c r="E52" s="61" t="s">
        <v>269</v>
      </c>
    </row>
    <row r="53" spans="1:5">
      <c r="A53" s="85" t="s">
        <v>270</v>
      </c>
      <c r="B53" s="85"/>
      <c r="C53" s="89">
        <v>46055</v>
      </c>
      <c r="D53" s="81"/>
    </row>
    <row r="54" spans="1:5">
      <c r="A54" s="85" t="s">
        <v>271</v>
      </c>
      <c r="B54" s="85"/>
      <c r="C54" s="89">
        <v>46023</v>
      </c>
      <c r="D54" s="81"/>
    </row>
    <row r="55" spans="1:5">
      <c r="A55" s="90" t="s">
        <v>272</v>
      </c>
      <c r="B55" s="85"/>
      <c r="C55" s="85"/>
      <c r="D55" s="81"/>
    </row>
    <row r="56" spans="1:5">
      <c r="A56" s="85" t="s">
        <v>273</v>
      </c>
      <c r="B56" s="85"/>
      <c r="C56" s="85" t="s">
        <v>274</v>
      </c>
      <c r="D56" s="81" t="s">
        <v>275</v>
      </c>
    </row>
    <row r="57" spans="1:5">
      <c r="A57" s="90"/>
      <c r="B57" s="85"/>
      <c r="C57" s="85"/>
      <c r="D57" s="81"/>
    </row>
    <row r="58" spans="1:5">
      <c r="A58" s="91" t="s">
        <v>276</v>
      </c>
      <c r="B58" s="94" t="s">
        <v>277</v>
      </c>
      <c r="C58" s="94" t="s">
        <v>278</v>
      </c>
      <c r="D58" s="83"/>
    </row>
    <row r="59" spans="1:5">
      <c r="A59" s="90" t="s">
        <v>279</v>
      </c>
      <c r="B59" s="85" t="s">
        <v>280</v>
      </c>
      <c r="C59" s="85" t="s">
        <v>281</v>
      </c>
      <c r="D59" s="81"/>
    </row>
    <row r="60" spans="1:5">
      <c r="A60" s="90" t="s">
        <v>279</v>
      </c>
      <c r="B60" s="81" t="s">
        <v>282</v>
      </c>
      <c r="C60" s="81" t="s">
        <v>283</v>
      </c>
      <c r="D60" s="81"/>
    </row>
    <row r="61" spans="1:5">
      <c r="B61" s="80"/>
      <c r="C61" s="80"/>
      <c r="D61" s="80"/>
    </row>
    <row r="62" spans="1:5">
      <c r="B62" s="80"/>
      <c r="C62" s="80"/>
      <c r="D62" s="80"/>
    </row>
    <row r="63" spans="1:5">
      <c r="B63" s="80"/>
      <c r="C63" s="80"/>
      <c r="D63" s="80"/>
    </row>
    <row r="64" spans="1:5">
      <c r="B64" s="80"/>
      <c r="C64" s="80"/>
      <c r="D64" s="80"/>
    </row>
    <row r="65" spans="2:4">
      <c r="B65" s="80"/>
      <c r="C65" s="80"/>
      <c r="D65" s="80"/>
    </row>
    <row r="66" spans="2:4">
      <c r="B66" s="80"/>
      <c r="C66" s="80"/>
      <c r="D66" s="80"/>
    </row>
    <row r="67" spans="2:4">
      <c r="B67" s="80"/>
      <c r="C67" s="80"/>
      <c r="D67" s="80"/>
    </row>
    <row r="68" spans="2:4">
      <c r="B68" s="80"/>
      <c r="C68" s="80"/>
      <c r="D68" s="80"/>
    </row>
    <row r="69" spans="2:4">
      <c r="B69" s="80"/>
      <c r="C69" s="80"/>
      <c r="D69" s="80"/>
    </row>
    <row r="70" spans="2:4">
      <c r="B70" s="80"/>
      <c r="C70" s="80"/>
      <c r="D70" s="80"/>
    </row>
    <row r="71" spans="2:4">
      <c r="B71" s="80"/>
      <c r="C71" s="80"/>
      <c r="D71" s="80"/>
    </row>
    <row r="72" spans="2:4">
      <c r="B72" s="80"/>
      <c r="C72" s="80"/>
      <c r="D72" s="80"/>
    </row>
    <row r="73" spans="2:4">
      <c r="B73" s="80"/>
      <c r="C73" s="80"/>
      <c r="D73" s="80"/>
    </row>
    <row r="74" spans="2:4">
      <c r="B74" s="80"/>
      <c r="C74" s="80"/>
      <c r="D74" s="80"/>
    </row>
    <row r="75" spans="2:4">
      <c r="B75" s="80"/>
      <c r="C75" s="80"/>
      <c r="D75" s="80"/>
    </row>
    <row r="76" spans="2:4">
      <c r="B76" s="80"/>
      <c r="C76" s="80"/>
      <c r="D76" s="80"/>
    </row>
    <row r="77" spans="2:4">
      <c r="B77" s="80"/>
      <c r="C77" s="80"/>
      <c r="D77" s="80"/>
    </row>
    <row r="78" spans="2:4">
      <c r="B78" s="80"/>
      <c r="C78" s="80"/>
      <c r="D78" s="80"/>
    </row>
    <row r="79" spans="2:4">
      <c r="B79" s="80"/>
      <c r="C79" s="80"/>
      <c r="D79" s="80"/>
    </row>
    <row r="80" spans="2:4">
      <c r="B80" s="80"/>
      <c r="C80" s="80"/>
      <c r="D80" s="80"/>
    </row>
    <row r="81" spans="2:4">
      <c r="B81" s="80"/>
      <c r="C81" s="80"/>
      <c r="D81" s="80"/>
    </row>
    <row r="82" spans="2:4">
      <c r="B82" s="80"/>
      <c r="C82" s="80"/>
      <c r="D82" s="80"/>
    </row>
    <row r="83" spans="2:4">
      <c r="B83" s="80"/>
      <c r="C83" s="80"/>
      <c r="D83" s="80"/>
    </row>
    <row r="84" spans="2:4">
      <c r="B84" s="80"/>
      <c r="C84" s="80"/>
      <c r="D84" s="80"/>
    </row>
    <row r="85" spans="2:4">
      <c r="B85" s="80"/>
      <c r="C85" s="80"/>
      <c r="D85" s="80"/>
    </row>
    <row r="86" spans="2:4">
      <c r="B86" s="80"/>
      <c r="C86" s="80"/>
      <c r="D86" s="80"/>
    </row>
    <row r="87" spans="2:4">
      <c r="B87" s="80"/>
      <c r="C87" s="80"/>
      <c r="D87" s="80"/>
    </row>
    <row r="88" spans="2:4">
      <c r="B88" s="80"/>
      <c r="C88" s="80"/>
      <c r="D88" s="80"/>
    </row>
    <row r="89" spans="2:4">
      <c r="B89" s="80"/>
      <c r="C89" s="80"/>
      <c r="D89" s="80"/>
    </row>
    <row r="90" spans="2:4">
      <c r="B90" s="80"/>
      <c r="C90" s="80"/>
      <c r="D90" s="80"/>
    </row>
    <row r="91" spans="2:4">
      <c r="B91" s="80"/>
      <c r="C91" s="80"/>
      <c r="D91" s="80"/>
    </row>
    <row r="92" spans="2:4">
      <c r="B92" s="80"/>
      <c r="C92" s="80"/>
      <c r="D92" s="80"/>
    </row>
    <row r="93" spans="2:4">
      <c r="B93" s="80"/>
      <c r="C93" s="80"/>
      <c r="D93" s="80"/>
    </row>
    <row r="94" spans="2:4">
      <c r="B94" s="80"/>
      <c r="C94" s="80"/>
      <c r="D94" s="80"/>
    </row>
    <row r="95" spans="2:4">
      <c r="B95" s="80"/>
      <c r="C95" s="80"/>
      <c r="D95" s="80"/>
    </row>
    <row r="96" spans="2:4">
      <c r="B96" s="80"/>
      <c r="C96" s="80"/>
      <c r="D96" s="80"/>
    </row>
    <row r="97" spans="2:4">
      <c r="B97" s="80"/>
      <c r="C97" s="80"/>
      <c r="D97" s="80"/>
    </row>
    <row r="98" spans="2:4">
      <c r="B98" s="80"/>
      <c r="C98" s="80"/>
      <c r="D98" s="80"/>
    </row>
    <row r="99" spans="2:4">
      <c r="B99" s="80"/>
      <c r="C99" s="80"/>
      <c r="D99" s="80"/>
    </row>
    <row r="100" spans="2:4">
      <c r="B100" s="80"/>
      <c r="C100" s="80"/>
      <c r="D100" s="80"/>
    </row>
    <row r="101" spans="2:4">
      <c r="B101" s="80"/>
      <c r="C101" s="80"/>
      <c r="D101" s="80"/>
    </row>
    <row r="102" spans="2:4">
      <c r="B102" s="80"/>
      <c r="C102" s="80"/>
      <c r="D102" s="80"/>
    </row>
    <row r="103" spans="2:4">
      <c r="B103" s="80"/>
      <c r="C103" s="80"/>
      <c r="D103" s="80"/>
    </row>
    <row r="104" spans="2:4">
      <c r="B104" s="80"/>
      <c r="C104" s="80"/>
      <c r="D104" s="80"/>
    </row>
    <row r="105" spans="2:4">
      <c r="B105" s="80"/>
      <c r="C105" s="80"/>
      <c r="D105" s="80"/>
    </row>
    <row r="106" spans="2:4">
      <c r="B106" s="80"/>
      <c r="C106" s="80"/>
      <c r="D106" s="80"/>
    </row>
    <row r="107" spans="2:4">
      <c r="B107" s="80"/>
      <c r="C107" s="80"/>
      <c r="D107" s="80"/>
    </row>
    <row r="108" spans="2:4">
      <c r="B108" s="80"/>
      <c r="C108" s="80"/>
      <c r="D108" s="80"/>
    </row>
    <row r="109" spans="2:4">
      <c r="B109" s="80"/>
      <c r="C109" s="80"/>
      <c r="D109" s="80"/>
    </row>
    <row r="110" spans="2:4">
      <c r="B110" s="80"/>
      <c r="C110" s="80"/>
      <c r="D110" s="80"/>
    </row>
    <row r="111" spans="2:4">
      <c r="B111" s="80"/>
      <c r="C111" s="80"/>
      <c r="D111" s="80"/>
    </row>
    <row r="112" spans="2:4">
      <c r="B112" s="80"/>
      <c r="C112" s="80"/>
      <c r="D112" s="80"/>
    </row>
    <row r="113" spans="2:4">
      <c r="B113" s="80"/>
      <c r="C113" s="80"/>
      <c r="D113" s="80"/>
    </row>
    <row r="114" spans="2:4">
      <c r="B114" s="80"/>
      <c r="C114" s="80"/>
      <c r="D114" s="80"/>
    </row>
    <row r="115" spans="2:4">
      <c r="B115" s="80"/>
      <c r="C115" s="80"/>
      <c r="D115" s="80"/>
    </row>
    <row r="116" spans="2:4">
      <c r="B116" s="80"/>
      <c r="C116" s="80"/>
      <c r="D116" s="80"/>
    </row>
    <row r="117" spans="2:4">
      <c r="B117" s="80"/>
      <c r="C117" s="80"/>
      <c r="D117" s="80"/>
    </row>
    <row r="118" spans="2:4">
      <c r="B118" s="80"/>
      <c r="C118" s="80"/>
      <c r="D118" s="80"/>
    </row>
    <row r="119" spans="2:4">
      <c r="B119" s="80"/>
      <c r="C119" s="80"/>
      <c r="D119" s="80"/>
    </row>
    <row r="120" spans="2:4">
      <c r="B120" s="80"/>
      <c r="C120" s="80"/>
      <c r="D120" s="80"/>
    </row>
    <row r="121" spans="2:4">
      <c r="B121" s="80"/>
      <c r="C121" s="80"/>
      <c r="D121" s="80"/>
    </row>
    <row r="122" spans="2:4">
      <c r="B122" s="80"/>
      <c r="C122" s="80"/>
      <c r="D122" s="80"/>
    </row>
    <row r="123" spans="2:4">
      <c r="B123" s="80"/>
      <c r="C123" s="80"/>
      <c r="D123" s="80"/>
    </row>
    <row r="124" spans="2:4">
      <c r="B124" s="80"/>
      <c r="C124" s="80"/>
      <c r="D124" s="80"/>
    </row>
    <row r="125" spans="2:4">
      <c r="B125" s="80"/>
      <c r="C125" s="80"/>
      <c r="D125" s="80"/>
    </row>
    <row r="126" spans="2:4">
      <c r="B126" s="80"/>
      <c r="C126" s="80"/>
      <c r="D126" s="80"/>
    </row>
    <row r="127" spans="2:4">
      <c r="B127" s="80"/>
      <c r="C127" s="80"/>
      <c r="D127" s="80"/>
    </row>
    <row r="128" spans="2:4">
      <c r="B128" s="80"/>
      <c r="C128" s="80"/>
      <c r="D128" s="80"/>
    </row>
    <row r="129" spans="2:4">
      <c r="B129" s="80"/>
      <c r="C129" s="80"/>
      <c r="D129" s="80"/>
    </row>
    <row r="130" spans="2:4">
      <c r="B130" s="80"/>
      <c r="C130" s="80"/>
      <c r="D130" s="80"/>
    </row>
    <row r="131" spans="2:4">
      <c r="B131" s="80"/>
      <c r="C131" s="80"/>
      <c r="D131" s="80"/>
    </row>
    <row r="132" spans="2:4">
      <c r="B132" s="80"/>
      <c r="C132" s="80"/>
      <c r="D132" s="80"/>
    </row>
    <row r="133" spans="2:4">
      <c r="B133" s="80"/>
      <c r="C133" s="80"/>
      <c r="D133" s="80"/>
    </row>
    <row r="134" spans="2:4">
      <c r="B134" s="80"/>
      <c r="C134" s="80"/>
      <c r="D134" s="80"/>
    </row>
    <row r="135" spans="2:4">
      <c r="B135" s="80"/>
      <c r="C135" s="80"/>
      <c r="D135" s="80"/>
    </row>
    <row r="136" spans="2:4">
      <c r="B136" s="80"/>
      <c r="C136" s="80"/>
      <c r="D136" s="80"/>
    </row>
    <row r="137" spans="2:4">
      <c r="B137" s="80"/>
      <c r="C137" s="80"/>
      <c r="D137" s="80"/>
    </row>
    <row r="138" spans="2:4">
      <c r="B138" s="80"/>
      <c r="C138" s="80"/>
      <c r="D138" s="80"/>
    </row>
    <row r="139" spans="2:4">
      <c r="B139" s="80"/>
      <c r="C139" s="80"/>
      <c r="D139" s="97"/>
    </row>
    <row r="140" spans="2:4">
      <c r="B140" s="80"/>
      <c r="C140" s="80"/>
      <c r="D140" s="81"/>
    </row>
    <row r="141" spans="2:4">
      <c r="B141" s="80"/>
      <c r="C141" s="80"/>
      <c r="D141" s="81"/>
    </row>
    <row r="142" spans="2:4">
      <c r="B142" s="80"/>
      <c r="C142" s="80"/>
      <c r="D142" s="81"/>
    </row>
    <row r="143" spans="2:4">
      <c r="B143" s="80"/>
      <c r="C143" s="80"/>
      <c r="D143" s="81"/>
    </row>
    <row r="144" spans="2:4">
      <c r="B144" s="80"/>
      <c r="C144" s="80"/>
      <c r="D144" s="81"/>
    </row>
    <row r="145" spans="2:4">
      <c r="B145" s="80"/>
      <c r="C145" s="80"/>
      <c r="D145" s="81"/>
    </row>
    <row r="146" spans="2:4">
      <c r="B146" s="80"/>
      <c r="C146" s="80"/>
      <c r="D146" s="81"/>
    </row>
    <row r="147" spans="2:4">
      <c r="B147" s="80"/>
      <c r="C147" s="80"/>
      <c r="D147" s="81"/>
    </row>
    <row r="148" spans="2:4">
      <c r="B148" s="80"/>
      <c r="C148" s="80"/>
      <c r="D148" s="81"/>
    </row>
    <row r="149" spans="2:4">
      <c r="B149" s="80"/>
      <c r="C149" s="80"/>
      <c r="D149" s="81"/>
    </row>
    <row r="150" spans="2:4">
      <c r="B150" s="80"/>
      <c r="C150" s="80"/>
      <c r="D150" s="81"/>
    </row>
    <row r="151" spans="2:4">
      <c r="B151" s="80"/>
      <c r="C151" s="80"/>
      <c r="D151" s="81"/>
    </row>
    <row r="152" spans="2:4">
      <c r="B152" s="80"/>
      <c r="C152" s="80"/>
      <c r="D152" s="81"/>
    </row>
    <row r="153" spans="2:4">
      <c r="B153" s="80"/>
      <c r="C153" s="80"/>
      <c r="D153" s="81"/>
    </row>
    <row r="154" spans="2:4">
      <c r="B154" s="80"/>
      <c r="C154" s="80"/>
      <c r="D154" s="81"/>
    </row>
    <row r="155" spans="2:4">
      <c r="B155" s="80"/>
      <c r="C155" s="80"/>
      <c r="D155" s="81"/>
    </row>
    <row r="156" spans="2:4">
      <c r="B156" s="80"/>
      <c r="C156" s="80"/>
      <c r="D156" s="81"/>
    </row>
    <row r="157" spans="2:4">
      <c r="B157" s="80"/>
      <c r="C157" s="80"/>
      <c r="D157" s="81"/>
    </row>
    <row r="158" spans="2:4">
      <c r="B158" s="80"/>
      <c r="C158" s="80"/>
      <c r="D158" s="81"/>
    </row>
    <row r="159" spans="2:4">
      <c r="B159" s="80"/>
      <c r="C159" s="80"/>
      <c r="D159" s="81"/>
    </row>
    <row r="160" spans="2:4">
      <c r="B160" s="80"/>
      <c r="C160" s="80"/>
      <c r="D160" s="81"/>
    </row>
    <row r="161" spans="2:4">
      <c r="B161" s="80"/>
      <c r="C161" s="80"/>
      <c r="D161" s="81"/>
    </row>
    <row r="162" spans="2:4">
      <c r="B162" s="80"/>
      <c r="C162" s="80"/>
      <c r="D162" s="81"/>
    </row>
    <row r="163" spans="2:4">
      <c r="B163" s="80"/>
      <c r="C163" s="80"/>
      <c r="D163" s="81"/>
    </row>
    <row r="164" spans="2:4">
      <c r="B164" s="80"/>
      <c r="C164" s="80"/>
      <c r="D164" s="81"/>
    </row>
    <row r="165" spans="2:4">
      <c r="B165" s="80"/>
      <c r="C165" s="80"/>
      <c r="D165" s="81"/>
    </row>
    <row r="166" spans="2:4">
      <c r="B166" s="80"/>
      <c r="C166" s="80"/>
      <c r="D166" s="81"/>
    </row>
    <row r="167" spans="2:4">
      <c r="B167" s="80"/>
      <c r="C167" s="80"/>
      <c r="D167" s="81"/>
    </row>
    <row r="168" spans="2:4">
      <c r="B168" s="80"/>
      <c r="C168" s="80"/>
      <c r="D168" s="81"/>
    </row>
    <row r="169" spans="2:4">
      <c r="B169" s="80"/>
      <c r="C169" s="80"/>
      <c r="D169" s="81"/>
    </row>
    <row r="170" spans="2:4">
      <c r="B170" s="80"/>
      <c r="C170" s="80"/>
      <c r="D170" s="81"/>
    </row>
    <row r="171" spans="2:4">
      <c r="B171" s="80"/>
      <c r="C171" s="80"/>
      <c r="D171" s="81"/>
    </row>
    <row r="172" spans="2:4">
      <c r="B172" s="80"/>
      <c r="C172" s="80"/>
      <c r="D172" s="81"/>
    </row>
    <row r="173" spans="2:4">
      <c r="B173" s="80"/>
      <c r="C173" s="80"/>
      <c r="D173" s="81"/>
    </row>
    <row r="174" spans="2:4">
      <c r="B174" s="80"/>
      <c r="C174" s="80"/>
      <c r="D174" s="81"/>
    </row>
    <row r="175" spans="2:4">
      <c r="B175" s="80"/>
      <c r="C175" s="80"/>
      <c r="D175" s="81"/>
    </row>
    <row r="176" spans="2:4">
      <c r="B176" s="80"/>
      <c r="C176" s="80"/>
      <c r="D176" s="81"/>
    </row>
    <row r="177" spans="2:4">
      <c r="B177" s="80"/>
      <c r="C177" s="80"/>
      <c r="D177" s="81"/>
    </row>
    <row r="178" spans="2:4">
      <c r="B178" s="80"/>
      <c r="C178" s="80"/>
      <c r="D178" s="81"/>
    </row>
    <row r="179" spans="2:4">
      <c r="B179" s="80"/>
      <c r="C179" s="80"/>
      <c r="D179" s="81"/>
    </row>
    <row r="180" spans="2:4">
      <c r="B180" s="80"/>
      <c r="C180" s="80"/>
      <c r="D180" s="81"/>
    </row>
    <row r="181" spans="2:4">
      <c r="B181" s="80"/>
      <c r="C181" s="80"/>
      <c r="D181" s="81"/>
    </row>
    <row r="182" spans="2:4">
      <c r="B182" s="80"/>
      <c r="C182" s="80"/>
      <c r="D182" s="81"/>
    </row>
    <row r="183" spans="2:4">
      <c r="B183" s="80"/>
      <c r="C183" s="80"/>
      <c r="D183" s="81"/>
    </row>
    <row r="184" spans="2:4">
      <c r="B184" s="80"/>
      <c r="C184" s="80"/>
      <c r="D184" s="81"/>
    </row>
    <row r="185" spans="2:4">
      <c r="B185" s="80"/>
      <c r="C185" s="80"/>
      <c r="D185" s="81"/>
    </row>
    <row r="186" spans="2:4">
      <c r="B186" s="80"/>
      <c r="C186" s="80"/>
      <c r="D186" s="81"/>
    </row>
    <row r="187" spans="2:4">
      <c r="B187" s="80"/>
      <c r="C187" s="80"/>
      <c r="D187" s="81"/>
    </row>
    <row r="188" spans="2:4">
      <c r="B188" s="80"/>
      <c r="C188" s="80"/>
      <c r="D188" s="81"/>
    </row>
    <row r="189" spans="2:4">
      <c r="B189" s="80"/>
      <c r="C189" s="80"/>
      <c r="D189" s="81"/>
    </row>
    <row r="190" spans="2:4">
      <c r="B190" s="80"/>
      <c r="C190" s="80"/>
      <c r="D190" s="81"/>
    </row>
    <row r="191" spans="2:4">
      <c r="B191" s="80"/>
      <c r="C191" s="80"/>
      <c r="D191" s="81"/>
    </row>
    <row r="192" spans="2:4">
      <c r="B192" s="80"/>
      <c r="C192" s="80"/>
      <c r="D192" s="81"/>
    </row>
    <row r="193" spans="2:4">
      <c r="B193" s="80"/>
      <c r="C193" s="80"/>
      <c r="D193" s="81"/>
    </row>
    <row r="194" spans="2:4">
      <c r="B194" s="80"/>
      <c r="C194" s="80"/>
      <c r="D194" s="81"/>
    </row>
    <row r="195" spans="2:4">
      <c r="B195" s="80"/>
      <c r="C195" s="80"/>
      <c r="D195" s="81"/>
    </row>
    <row r="196" spans="2:4">
      <c r="B196" s="80"/>
      <c r="C196" s="80"/>
      <c r="D196" s="81"/>
    </row>
    <row r="197" spans="2:4">
      <c r="B197" s="80"/>
      <c r="C197" s="80"/>
      <c r="D197" s="81"/>
    </row>
    <row r="198" spans="2:4">
      <c r="B198" s="80"/>
      <c r="C198" s="80"/>
      <c r="D198" s="81"/>
    </row>
    <row r="199" spans="2:4">
      <c r="B199" s="80"/>
      <c r="C199" s="80"/>
      <c r="D199" s="81"/>
    </row>
    <row r="200" spans="2:4">
      <c r="B200" s="80"/>
      <c r="C200" s="80"/>
      <c r="D200" s="81"/>
    </row>
    <row r="201" spans="2:4">
      <c r="B201" s="80"/>
      <c r="C201" s="80"/>
      <c r="D201" s="81"/>
    </row>
    <row r="202" spans="2:4">
      <c r="B202" s="80"/>
      <c r="C202" s="80"/>
      <c r="D202" s="81"/>
    </row>
    <row r="203" spans="2:4">
      <c r="B203" s="80"/>
      <c r="C203" s="80"/>
      <c r="D203" s="81"/>
    </row>
    <row r="204" spans="2:4">
      <c r="B204" s="80"/>
      <c r="C204" s="80"/>
      <c r="D204" s="81"/>
    </row>
    <row r="205" spans="2:4">
      <c r="B205" s="80"/>
      <c r="C205" s="80"/>
      <c r="D205" s="81"/>
    </row>
    <row r="206" spans="2:4">
      <c r="B206" s="80"/>
      <c r="C206" s="80"/>
      <c r="D206" s="81"/>
    </row>
    <row r="207" spans="2:4">
      <c r="B207" s="80"/>
      <c r="C207" s="80"/>
      <c r="D207" s="81"/>
    </row>
    <row r="208" spans="2:4">
      <c r="B208" s="80"/>
      <c r="C208" s="80"/>
      <c r="D208" s="81"/>
    </row>
    <row r="209" spans="2:4">
      <c r="B209" s="80"/>
      <c r="C209" s="80"/>
      <c r="D209" s="81"/>
    </row>
    <row r="210" spans="2:4">
      <c r="B210" s="80"/>
      <c r="C210" s="80"/>
      <c r="D210" s="81"/>
    </row>
    <row r="211" spans="2:4">
      <c r="B211" s="80"/>
      <c r="C211" s="80"/>
      <c r="D211" s="81"/>
    </row>
    <row r="212" spans="2:4">
      <c r="B212" s="80"/>
      <c r="C212" s="80"/>
      <c r="D212" s="81"/>
    </row>
    <row r="213" spans="2:4">
      <c r="B213" s="80"/>
      <c r="C213" s="80"/>
      <c r="D213" s="81"/>
    </row>
    <row r="214" spans="2:4">
      <c r="B214" s="80"/>
      <c r="C214" s="80"/>
      <c r="D214" s="81"/>
    </row>
    <row r="215" spans="2:4">
      <c r="B215" s="80"/>
      <c r="C215" s="80"/>
      <c r="D215" s="81"/>
    </row>
    <row r="216" spans="2:4">
      <c r="B216" s="80"/>
      <c r="C216" s="80"/>
      <c r="D216" s="81"/>
    </row>
    <row r="217" spans="2:4">
      <c r="B217" s="80"/>
      <c r="C217" s="80"/>
      <c r="D217" s="81"/>
    </row>
    <row r="218" spans="2:4">
      <c r="B218" s="80"/>
      <c r="C218" s="80"/>
      <c r="D218" s="81"/>
    </row>
    <row r="219" spans="2:4">
      <c r="B219" s="80"/>
      <c r="C219" s="80"/>
      <c r="D219" s="81"/>
    </row>
    <row r="220" spans="2:4">
      <c r="B220" s="80"/>
      <c r="C220" s="80"/>
      <c r="D220" s="81"/>
    </row>
    <row r="221" spans="2:4">
      <c r="B221" s="80"/>
      <c r="C221" s="80"/>
      <c r="D221" s="81"/>
    </row>
    <row r="222" spans="2:4">
      <c r="B222" s="80"/>
      <c r="C222" s="80"/>
      <c r="D222" s="81"/>
    </row>
    <row r="223" spans="2:4">
      <c r="B223" s="80"/>
      <c r="C223" s="80"/>
      <c r="D223" s="81"/>
    </row>
    <row r="224" spans="2:4">
      <c r="B224" s="80"/>
      <c r="C224" s="80"/>
      <c r="D224" s="81"/>
    </row>
    <row r="225" spans="2:4">
      <c r="B225" s="80"/>
      <c r="C225" s="80"/>
      <c r="D225" s="81"/>
    </row>
    <row r="226" spans="2:4">
      <c r="B226" s="80"/>
      <c r="C226" s="80"/>
      <c r="D226" s="81"/>
    </row>
    <row r="227" spans="2:4">
      <c r="B227" s="80"/>
      <c r="C227" s="80"/>
      <c r="D227" s="81"/>
    </row>
    <row r="228" spans="2:4">
      <c r="B228" s="80"/>
      <c r="C228" s="80"/>
      <c r="D228" s="81"/>
    </row>
    <row r="229" spans="2:4">
      <c r="B229" s="80"/>
      <c r="C229" s="80"/>
      <c r="D229" s="81"/>
    </row>
    <row r="230" spans="2:4">
      <c r="B230" s="80"/>
      <c r="C230" s="80"/>
      <c r="D230" s="81"/>
    </row>
    <row r="231" spans="2:4">
      <c r="B231" s="80"/>
      <c r="C231" s="80"/>
      <c r="D231" s="81"/>
    </row>
    <row r="232" spans="2:4">
      <c r="B232" s="80"/>
      <c r="C232" s="80"/>
      <c r="D232" s="81"/>
    </row>
    <row r="233" spans="2:4">
      <c r="B233" s="80"/>
      <c r="C233" s="80"/>
      <c r="D233" s="81"/>
    </row>
    <row r="234" spans="2:4">
      <c r="B234" s="80"/>
      <c r="C234" s="80"/>
      <c r="D234" s="81"/>
    </row>
    <row r="235" spans="2:4">
      <c r="B235" s="80"/>
      <c r="C235" s="80"/>
      <c r="D235" s="81"/>
    </row>
    <row r="236" spans="2:4">
      <c r="B236" s="80"/>
      <c r="C236" s="80"/>
      <c r="D236" s="81"/>
    </row>
    <row r="237" spans="2:4">
      <c r="B237" s="80"/>
      <c r="C237" s="80"/>
      <c r="D237" s="81"/>
    </row>
    <row r="238" spans="2:4">
      <c r="B238" s="80"/>
      <c r="C238" s="80"/>
      <c r="D238" s="81"/>
    </row>
    <row r="239" spans="2:4">
      <c r="B239" s="80"/>
      <c r="C239" s="80"/>
      <c r="D239" s="81"/>
    </row>
    <row r="240" spans="2:4">
      <c r="B240" s="80"/>
      <c r="C240" s="80"/>
      <c r="D240" s="81"/>
    </row>
    <row r="241" spans="2:4">
      <c r="B241" s="80"/>
      <c r="C241" s="80"/>
      <c r="D241" s="81"/>
    </row>
    <row r="242" spans="2:4">
      <c r="B242" s="80"/>
      <c r="C242" s="80"/>
      <c r="D242" s="81"/>
    </row>
    <row r="243" spans="2:4">
      <c r="B243" s="80"/>
      <c r="C243" s="80"/>
      <c r="D243" s="81"/>
    </row>
    <row r="244" spans="2:4">
      <c r="B244" s="80"/>
      <c r="C244" s="80"/>
      <c r="D244" s="81"/>
    </row>
    <row r="245" spans="2:4">
      <c r="B245" s="80"/>
      <c r="C245" s="80"/>
      <c r="D245" s="81"/>
    </row>
    <row r="246" spans="2:4">
      <c r="B246" s="80"/>
      <c r="C246" s="80"/>
      <c r="D246" s="81"/>
    </row>
    <row r="247" spans="2:4">
      <c r="B247" s="80"/>
      <c r="C247" s="80"/>
      <c r="D247" s="81"/>
    </row>
    <row r="248" spans="2:4">
      <c r="B248" s="80"/>
      <c r="C248" s="80"/>
      <c r="D248" s="81"/>
    </row>
    <row r="249" spans="2:4">
      <c r="B249" s="80"/>
      <c r="C249" s="80"/>
      <c r="D249" s="81"/>
    </row>
    <row r="250" spans="2:4">
      <c r="B250" s="80"/>
      <c r="C250" s="80"/>
      <c r="D250" s="81"/>
    </row>
    <row r="251" spans="2:4">
      <c r="B251" s="80"/>
      <c r="C251" s="80"/>
      <c r="D251" s="81"/>
    </row>
    <row r="252" spans="2:4">
      <c r="B252" s="80"/>
      <c r="C252" s="80"/>
      <c r="D252" s="81"/>
    </row>
    <row r="253" spans="2:4">
      <c r="B253" s="80"/>
      <c r="C253" s="80"/>
      <c r="D253" s="81"/>
    </row>
    <row r="254" spans="2:4">
      <c r="B254" s="80"/>
      <c r="C254" s="80"/>
      <c r="D254" s="81"/>
    </row>
    <row r="255" spans="2:4">
      <c r="B255" s="80"/>
      <c r="C255" s="80"/>
      <c r="D255" s="81"/>
    </row>
    <row r="256" spans="2:4">
      <c r="B256" s="80"/>
      <c r="C256" s="80"/>
      <c r="D256" s="81"/>
    </row>
    <row r="257" spans="2:4">
      <c r="B257" s="80"/>
      <c r="C257" s="80"/>
      <c r="D257" s="81"/>
    </row>
    <row r="258" spans="2:4">
      <c r="B258" s="80"/>
      <c r="C258" s="80"/>
      <c r="D258" s="81"/>
    </row>
    <row r="259" spans="2:4">
      <c r="B259" s="80"/>
      <c r="C259" s="80"/>
      <c r="D259" s="81"/>
    </row>
    <row r="260" spans="2:4">
      <c r="B260" s="80"/>
      <c r="C260" s="80"/>
      <c r="D260" s="81"/>
    </row>
    <row r="261" spans="2:4">
      <c r="B261" s="80"/>
      <c r="C261" s="80"/>
      <c r="D261" s="81"/>
    </row>
    <row r="262" spans="2:4">
      <c r="B262" s="80"/>
      <c r="C262" s="80"/>
      <c r="D262" s="81"/>
    </row>
    <row r="263" spans="2:4">
      <c r="B263" s="80"/>
      <c r="C263" s="80"/>
      <c r="D263" s="81"/>
    </row>
    <row r="264" spans="2:4">
      <c r="B264" s="80"/>
      <c r="C264" s="80"/>
      <c r="D264" s="81"/>
    </row>
    <row r="265" spans="2:4">
      <c r="B265" s="80"/>
      <c r="C265" s="80"/>
      <c r="D265" s="81"/>
    </row>
    <row r="266" spans="2:4">
      <c r="B266" s="80"/>
      <c r="C266" s="80"/>
      <c r="D266" s="81"/>
    </row>
    <row r="267" spans="2:4">
      <c r="B267" s="80"/>
      <c r="C267" s="80"/>
      <c r="D267" s="81"/>
    </row>
    <row r="268" spans="2:4">
      <c r="B268" s="80"/>
      <c r="C268" s="80"/>
      <c r="D268" s="81"/>
    </row>
    <row r="269" spans="2:4">
      <c r="B269" s="80"/>
      <c r="C269" s="80"/>
      <c r="D269" s="81"/>
    </row>
    <row r="270" spans="2:4">
      <c r="B270" s="80"/>
      <c r="C270" s="80"/>
      <c r="D270" s="81"/>
    </row>
    <row r="271" spans="2:4">
      <c r="B271" s="80"/>
      <c r="C271" s="80"/>
      <c r="D271" s="81"/>
    </row>
    <row r="272" spans="2:4">
      <c r="B272" s="80"/>
      <c r="C272" s="80"/>
      <c r="D272" s="81"/>
    </row>
    <row r="273" spans="2:4">
      <c r="B273" s="80"/>
      <c r="C273" s="80"/>
      <c r="D273" s="81"/>
    </row>
    <row r="274" spans="2:4">
      <c r="B274" s="80"/>
      <c r="C274" s="80"/>
      <c r="D274" s="81"/>
    </row>
    <row r="275" spans="2:4">
      <c r="B275" s="80"/>
      <c r="C275" s="80"/>
      <c r="D275" s="81"/>
    </row>
    <row r="276" spans="2:4">
      <c r="B276" s="80"/>
      <c r="C276" s="80"/>
      <c r="D276" s="81"/>
    </row>
    <row r="277" spans="2:4">
      <c r="B277" s="80"/>
      <c r="C277" s="80"/>
      <c r="D277" s="81"/>
    </row>
    <row r="278" spans="2:4">
      <c r="B278" s="80"/>
      <c r="C278" s="80"/>
      <c r="D278" s="81"/>
    </row>
    <row r="279" spans="2:4">
      <c r="B279" s="80"/>
      <c r="C279" s="80"/>
      <c r="D279" s="81"/>
    </row>
    <row r="280" spans="2:4">
      <c r="B280" s="80"/>
      <c r="C280" s="80"/>
      <c r="D280" s="81"/>
    </row>
    <row r="281" spans="2:4">
      <c r="B281" s="80"/>
      <c r="C281" s="80"/>
      <c r="D281" s="81"/>
    </row>
    <row r="282" spans="2:4">
      <c r="B282" s="80"/>
      <c r="C282" s="80"/>
      <c r="D282" s="81"/>
    </row>
    <row r="283" spans="2:4">
      <c r="B283" s="80"/>
      <c r="C283" s="80"/>
      <c r="D283" s="81"/>
    </row>
    <row r="284" spans="2:4">
      <c r="B284" s="80"/>
      <c r="C284" s="80"/>
      <c r="D284" s="81"/>
    </row>
    <row r="285" spans="2:4">
      <c r="B285" s="80"/>
      <c r="C285" s="80"/>
      <c r="D285" s="81"/>
    </row>
    <row r="286" spans="2:4">
      <c r="B286" s="80"/>
      <c r="C286" s="80"/>
      <c r="D286" s="81"/>
    </row>
    <row r="287" spans="2:4">
      <c r="B287" s="80"/>
      <c r="C287" s="80"/>
      <c r="D287" s="81"/>
    </row>
    <row r="288" spans="2:4">
      <c r="B288" s="80"/>
      <c r="C288" s="80"/>
      <c r="D288" s="81"/>
    </row>
    <row r="289" spans="2:4">
      <c r="B289" s="80"/>
      <c r="C289" s="80"/>
      <c r="D289" s="81"/>
    </row>
    <row r="290" spans="2:4">
      <c r="B290" s="80"/>
      <c r="C290" s="80"/>
      <c r="D290" s="81"/>
    </row>
    <row r="291" spans="2:4">
      <c r="B291" s="80"/>
      <c r="C291" s="80"/>
      <c r="D291" s="81"/>
    </row>
    <row r="292" spans="2:4">
      <c r="B292" s="80"/>
      <c r="C292" s="80"/>
      <c r="D292" s="81"/>
    </row>
    <row r="293" spans="2:4">
      <c r="B293" s="80"/>
      <c r="C293" s="80"/>
      <c r="D293" s="81"/>
    </row>
    <row r="294" spans="2:4">
      <c r="B294" s="80"/>
      <c r="C294" s="80"/>
      <c r="D294" s="81"/>
    </row>
    <row r="295" spans="2:4">
      <c r="B295" s="80"/>
      <c r="C295" s="80"/>
      <c r="D295" s="81"/>
    </row>
    <row r="296" spans="2:4">
      <c r="B296" s="80"/>
      <c r="C296" s="80"/>
      <c r="D296" s="81"/>
    </row>
    <row r="297" spans="2:4">
      <c r="B297" s="80"/>
      <c r="C297" s="80"/>
      <c r="D297" s="81"/>
    </row>
    <row r="298" spans="2:4">
      <c r="B298" s="80"/>
      <c r="C298" s="80"/>
      <c r="D298" s="81"/>
    </row>
    <row r="299" spans="2:4">
      <c r="B299" s="80"/>
      <c r="C299" s="80"/>
      <c r="D299" s="81"/>
    </row>
    <row r="300" spans="2:4">
      <c r="B300" s="80"/>
      <c r="C300" s="80"/>
      <c r="D300" s="81"/>
    </row>
    <row r="301" spans="2:4">
      <c r="B301" s="80"/>
      <c r="C301" s="80"/>
      <c r="D301" s="81"/>
    </row>
    <row r="302" spans="2:4">
      <c r="B302" s="80"/>
      <c r="C302" s="80"/>
      <c r="D302" s="81"/>
    </row>
    <row r="303" spans="2:4">
      <c r="B303" s="80"/>
      <c r="C303" s="80"/>
      <c r="D303" s="81"/>
    </row>
    <row r="304" spans="2:4">
      <c r="B304" s="80"/>
      <c r="C304" s="80"/>
      <c r="D304" s="81"/>
    </row>
    <row r="305" spans="2:4">
      <c r="B305" s="80"/>
      <c r="C305" s="80"/>
      <c r="D305" s="81"/>
    </row>
    <row r="306" spans="2:4">
      <c r="B306" s="80"/>
      <c r="C306" s="80"/>
      <c r="D306" s="81"/>
    </row>
    <row r="307" spans="2:4">
      <c r="B307" s="80"/>
      <c r="C307" s="80"/>
      <c r="D307" s="81"/>
    </row>
    <row r="308" spans="2:4">
      <c r="B308" s="80"/>
      <c r="C308" s="80"/>
      <c r="D308" s="81"/>
    </row>
    <row r="309" spans="2:4">
      <c r="B309" s="80"/>
      <c r="C309" s="80"/>
      <c r="D309" s="81"/>
    </row>
    <row r="310" spans="2:4">
      <c r="B310" s="80"/>
      <c r="C310" s="80"/>
      <c r="D310" s="81"/>
    </row>
    <row r="311" spans="2:4">
      <c r="B311" s="80"/>
      <c r="C311" s="80"/>
      <c r="D311" s="81"/>
    </row>
    <row r="312" spans="2:4">
      <c r="B312" s="80"/>
      <c r="C312" s="80"/>
      <c r="D312" s="81"/>
    </row>
    <row r="313" spans="2:4">
      <c r="B313" s="80"/>
      <c r="C313" s="80"/>
      <c r="D313" s="81"/>
    </row>
    <row r="314" spans="2:4">
      <c r="B314" s="80"/>
      <c r="C314" s="80"/>
      <c r="D314" s="81"/>
    </row>
    <row r="315" spans="2:4">
      <c r="B315" s="80"/>
      <c r="C315" s="80"/>
      <c r="D315" s="81"/>
    </row>
    <row r="316" spans="2:4">
      <c r="B316" s="80"/>
      <c r="C316" s="80"/>
      <c r="D316" s="81"/>
    </row>
    <row r="317" spans="2:4">
      <c r="B317" s="80"/>
      <c r="C317" s="80"/>
      <c r="D317" s="81"/>
    </row>
    <row r="318" spans="2:4">
      <c r="B318" s="80"/>
      <c r="C318" s="80"/>
      <c r="D318" s="81"/>
    </row>
    <row r="319" spans="2:4">
      <c r="B319" s="80"/>
      <c r="C319" s="80"/>
      <c r="D319" s="81"/>
    </row>
    <row r="320" spans="2:4">
      <c r="B320" s="80"/>
      <c r="C320" s="80"/>
      <c r="D320" s="81"/>
    </row>
    <row r="321" spans="2:4">
      <c r="B321" s="80"/>
      <c r="C321" s="80"/>
      <c r="D321" s="81"/>
    </row>
    <row r="322" spans="2:4">
      <c r="B322" s="80"/>
      <c r="C322" s="80"/>
      <c r="D322" s="81"/>
    </row>
    <row r="323" spans="2:4">
      <c r="B323" s="80"/>
      <c r="C323" s="80"/>
      <c r="D323" s="81"/>
    </row>
    <row r="324" spans="2:4">
      <c r="B324" s="80"/>
      <c r="C324" s="80"/>
      <c r="D324" s="81"/>
    </row>
    <row r="325" spans="2:4">
      <c r="B325" s="80"/>
      <c r="C325" s="80"/>
      <c r="D325" s="81"/>
    </row>
    <row r="326" spans="2:4">
      <c r="B326" s="80"/>
      <c r="C326" s="80"/>
      <c r="D326" s="81"/>
    </row>
    <row r="327" spans="2:4">
      <c r="B327" s="80"/>
      <c r="C327" s="80"/>
      <c r="D327" s="81"/>
    </row>
    <row r="328" spans="2:4">
      <c r="B328" s="80"/>
      <c r="C328" s="80"/>
      <c r="D328" s="81"/>
    </row>
    <row r="329" spans="2:4">
      <c r="B329" s="80"/>
      <c r="C329" s="80"/>
      <c r="D329" s="81"/>
    </row>
    <row r="330" spans="2:4">
      <c r="B330" s="80"/>
      <c r="C330" s="80"/>
      <c r="D330" s="81"/>
    </row>
    <row r="331" spans="2:4">
      <c r="B331" s="80"/>
      <c r="C331" s="80"/>
      <c r="D331" s="81"/>
    </row>
    <row r="332" spans="2:4">
      <c r="B332" s="80"/>
      <c r="C332" s="80"/>
      <c r="D332" s="81"/>
    </row>
    <row r="333" spans="2:4">
      <c r="B333" s="80"/>
      <c r="C333" s="80"/>
      <c r="D333" s="81"/>
    </row>
    <row r="334" spans="2:4">
      <c r="B334" s="80"/>
      <c r="C334" s="80"/>
      <c r="D334" s="81"/>
    </row>
    <row r="335" spans="2:4">
      <c r="B335" s="80"/>
      <c r="C335" s="80"/>
      <c r="D335" s="81"/>
    </row>
    <row r="336" spans="2:4">
      <c r="B336" s="80"/>
      <c r="C336" s="80"/>
      <c r="D336" s="81"/>
    </row>
    <row r="337" spans="2:4">
      <c r="B337" s="80"/>
      <c r="C337" s="80"/>
      <c r="D337" s="81"/>
    </row>
    <row r="338" spans="2:4">
      <c r="B338" s="80"/>
      <c r="C338" s="80"/>
      <c r="D338" s="81"/>
    </row>
    <row r="339" spans="2:4">
      <c r="B339" s="80"/>
      <c r="C339" s="80"/>
      <c r="D339" s="81"/>
    </row>
    <row r="340" spans="2:4">
      <c r="B340" s="80"/>
      <c r="C340" s="80"/>
      <c r="D340" s="81"/>
    </row>
    <row r="341" spans="2:4">
      <c r="B341" s="80"/>
      <c r="C341" s="80"/>
      <c r="D341" s="81"/>
    </row>
    <row r="342" spans="2:4">
      <c r="B342" s="80"/>
      <c r="C342" s="80"/>
      <c r="D342" s="81"/>
    </row>
    <row r="343" spans="2:4">
      <c r="B343" s="80"/>
      <c r="C343" s="80"/>
      <c r="D343" s="81"/>
    </row>
    <row r="344" spans="2:4">
      <c r="B344" s="80"/>
      <c r="C344" s="80"/>
      <c r="D344" s="81"/>
    </row>
    <row r="345" spans="2:4">
      <c r="B345" s="80"/>
      <c r="C345" s="80"/>
      <c r="D345" s="81"/>
    </row>
    <row r="346" spans="2:4">
      <c r="B346" s="80"/>
      <c r="C346" s="80"/>
      <c r="D346" s="81"/>
    </row>
    <row r="347" spans="2:4">
      <c r="B347" s="80"/>
      <c r="C347" s="80"/>
      <c r="D347" s="81"/>
    </row>
    <row r="348" spans="2:4">
      <c r="B348" s="80"/>
      <c r="C348" s="80"/>
      <c r="D348" s="81"/>
    </row>
    <row r="349" spans="2:4">
      <c r="B349" s="80"/>
      <c r="C349" s="80"/>
      <c r="D349" s="81"/>
    </row>
    <row r="350" spans="2:4">
      <c r="B350" s="80"/>
      <c r="C350" s="80"/>
      <c r="D350" s="81"/>
    </row>
    <row r="351" spans="2:4">
      <c r="B351" s="80"/>
      <c r="C351" s="80"/>
      <c r="D351" s="81"/>
    </row>
    <row r="352" spans="2:4">
      <c r="B352" s="80"/>
      <c r="C352" s="80"/>
      <c r="D352" s="81"/>
    </row>
    <row r="353" spans="2:4">
      <c r="B353" s="80"/>
      <c r="C353" s="80"/>
      <c r="D353" s="81"/>
    </row>
    <row r="354" spans="2:4">
      <c r="B354" s="80"/>
      <c r="C354" s="80"/>
      <c r="D354" s="81"/>
    </row>
    <row r="355" spans="2:4">
      <c r="B355" s="80"/>
      <c r="C355" s="80"/>
      <c r="D355" s="81"/>
    </row>
    <row r="356" spans="2:4">
      <c r="B356" s="80"/>
      <c r="C356" s="80"/>
      <c r="D356" s="81"/>
    </row>
    <row r="357" spans="2:4">
      <c r="B357" s="80"/>
      <c r="C357" s="80"/>
      <c r="D357" s="81"/>
    </row>
    <row r="358" spans="2:4">
      <c r="B358" s="80"/>
      <c r="C358" s="80"/>
      <c r="D358" s="81"/>
    </row>
    <row r="359" spans="2:4">
      <c r="B359" s="80"/>
      <c r="C359" s="80"/>
      <c r="D359" s="81"/>
    </row>
    <row r="360" spans="2:4">
      <c r="B360" s="80"/>
      <c r="C360" s="80"/>
      <c r="D360" s="81"/>
    </row>
    <row r="361" spans="2:4">
      <c r="B361" s="80"/>
      <c r="C361" s="80"/>
      <c r="D361" s="81"/>
    </row>
    <row r="362" spans="2:4">
      <c r="B362" s="80"/>
      <c r="C362" s="80"/>
      <c r="D362" s="81"/>
    </row>
    <row r="363" spans="2:4">
      <c r="B363" s="80"/>
      <c r="C363" s="80"/>
      <c r="D363" s="81"/>
    </row>
    <row r="364" spans="2:4">
      <c r="B364" s="80"/>
      <c r="C364" s="80"/>
      <c r="D364" s="81"/>
    </row>
    <row r="365" spans="2:4">
      <c r="B365" s="80"/>
      <c r="C365" s="80"/>
      <c r="D365" s="81"/>
    </row>
    <row r="366" spans="2:4">
      <c r="B366" s="80"/>
      <c r="C366" s="80"/>
      <c r="D366" s="81"/>
    </row>
    <row r="367" spans="2:4">
      <c r="B367" s="80"/>
      <c r="C367" s="80"/>
      <c r="D367" s="81"/>
    </row>
    <row r="368" spans="2:4">
      <c r="B368" s="80"/>
      <c r="C368" s="80"/>
      <c r="D368" s="81"/>
    </row>
    <row r="369" spans="2:4">
      <c r="B369" s="80"/>
      <c r="C369" s="80"/>
      <c r="D369" s="81"/>
    </row>
    <row r="370" spans="2:4">
      <c r="B370" s="80"/>
      <c r="C370" s="80"/>
      <c r="D370" s="81"/>
    </row>
    <row r="371" spans="2:4">
      <c r="B371" s="80"/>
      <c r="C371" s="80"/>
      <c r="D371" s="81"/>
    </row>
    <row r="372" spans="2:4">
      <c r="B372" s="80"/>
      <c r="C372" s="80"/>
      <c r="D372" s="81"/>
    </row>
    <row r="373" spans="2:4">
      <c r="B373" s="80"/>
      <c r="C373" s="80"/>
      <c r="D373" s="81"/>
    </row>
    <row r="374" spans="2:4">
      <c r="B374" s="80"/>
      <c r="C374" s="80"/>
      <c r="D374" s="81"/>
    </row>
    <row r="375" spans="2:4">
      <c r="B375" s="80"/>
      <c r="C375" s="80"/>
      <c r="D375" s="81"/>
    </row>
    <row r="376" spans="2:4">
      <c r="B376" s="80"/>
      <c r="C376" s="80"/>
      <c r="D376" s="81"/>
    </row>
    <row r="377" spans="2:4">
      <c r="B377" s="80"/>
      <c r="C377" s="80"/>
      <c r="D377" s="81"/>
    </row>
    <row r="378" spans="2:4">
      <c r="B378" s="80"/>
      <c r="C378" s="80"/>
      <c r="D378" s="81"/>
    </row>
    <row r="379" spans="2:4">
      <c r="B379" s="80"/>
      <c r="C379" s="80"/>
      <c r="D379" s="81"/>
    </row>
    <row r="380" spans="2:4">
      <c r="B380" s="80"/>
      <c r="C380" s="80"/>
      <c r="D380" s="81"/>
    </row>
    <row r="381" spans="2:4">
      <c r="B381" s="80"/>
      <c r="C381" s="80"/>
      <c r="D381" s="81"/>
    </row>
    <row r="382" spans="2:4">
      <c r="B382" s="80"/>
      <c r="C382" s="80"/>
      <c r="D382" s="81"/>
    </row>
    <row r="383" spans="2:4">
      <c r="B383" s="80"/>
      <c r="C383" s="80"/>
      <c r="D383" s="81"/>
    </row>
    <row r="384" spans="2:4">
      <c r="B384" s="80"/>
      <c r="C384" s="80"/>
      <c r="D384" s="81"/>
    </row>
    <row r="385" spans="2:4">
      <c r="B385" s="80"/>
      <c r="C385" s="80"/>
      <c r="D385" s="81"/>
    </row>
    <row r="386" spans="2:4">
      <c r="B386" s="80"/>
      <c r="C386" s="80"/>
      <c r="D386" s="81"/>
    </row>
    <row r="387" spans="2:4">
      <c r="B387" s="80"/>
      <c r="C387" s="80"/>
      <c r="D387" s="81"/>
    </row>
    <row r="388" spans="2:4">
      <c r="B388" s="80"/>
      <c r="C388" s="80"/>
      <c r="D388" s="81"/>
    </row>
    <row r="389" spans="2:4">
      <c r="B389" s="80"/>
      <c r="C389" s="80"/>
      <c r="D389" s="81"/>
    </row>
    <row r="390" spans="2:4">
      <c r="B390" s="80"/>
      <c r="C390" s="80"/>
      <c r="D390" s="81"/>
    </row>
    <row r="391" spans="2:4">
      <c r="B391" s="80"/>
      <c r="C391" s="80"/>
      <c r="D391" s="81"/>
    </row>
    <row r="392" spans="2:4">
      <c r="B392" s="80"/>
      <c r="C392" s="80"/>
      <c r="D392" s="81"/>
    </row>
    <row r="393" spans="2:4">
      <c r="B393" s="80"/>
      <c r="C393" s="80"/>
      <c r="D393" s="81"/>
    </row>
    <row r="394" spans="2:4">
      <c r="B394" s="80"/>
      <c r="C394" s="80"/>
      <c r="D394" s="81"/>
    </row>
    <row r="395" spans="2:4">
      <c r="B395" s="80"/>
      <c r="C395" s="80"/>
      <c r="D395" s="81"/>
    </row>
    <row r="396" spans="2:4">
      <c r="B396" s="80"/>
      <c r="C396" s="80"/>
      <c r="D396" s="81"/>
    </row>
    <row r="397" spans="2:4">
      <c r="B397" s="80"/>
      <c r="C397" s="80"/>
      <c r="D397" s="81"/>
    </row>
    <row r="398" spans="2:4">
      <c r="B398" s="80"/>
      <c r="C398" s="80"/>
      <c r="D398" s="81"/>
    </row>
    <row r="399" spans="2:4">
      <c r="B399" s="80"/>
      <c r="C399" s="80"/>
      <c r="D399" s="81"/>
    </row>
    <row r="400" spans="2:4">
      <c r="B400" s="80"/>
      <c r="C400" s="80"/>
      <c r="D400" s="81"/>
    </row>
    <row r="401" spans="2:4">
      <c r="B401" s="80"/>
      <c r="C401" s="80"/>
      <c r="D401" s="81"/>
    </row>
    <row r="402" spans="2:4">
      <c r="B402" s="80"/>
      <c r="C402" s="80"/>
      <c r="D402" s="81"/>
    </row>
    <row r="403" spans="2:4">
      <c r="B403" s="80"/>
      <c r="C403" s="80"/>
      <c r="D403" s="81"/>
    </row>
    <row r="404" spans="2:4">
      <c r="B404" s="80"/>
      <c r="C404" s="80"/>
      <c r="D404" s="81"/>
    </row>
    <row r="405" spans="2:4">
      <c r="B405" s="80"/>
      <c r="C405" s="80"/>
      <c r="D405" s="81"/>
    </row>
    <row r="406" spans="2:4">
      <c r="B406" s="80"/>
      <c r="C406" s="80"/>
      <c r="D406" s="81"/>
    </row>
    <row r="407" spans="2:4">
      <c r="B407" s="80"/>
      <c r="C407" s="80"/>
      <c r="D407" s="81"/>
    </row>
    <row r="408" spans="2:4">
      <c r="B408" s="80"/>
      <c r="C408" s="80"/>
      <c r="D408" s="81"/>
    </row>
    <row r="409" spans="2:4">
      <c r="B409" s="80"/>
      <c r="C409" s="80"/>
      <c r="D409" s="81"/>
    </row>
    <row r="410" spans="2:4">
      <c r="B410" s="80"/>
      <c r="C410" s="80"/>
      <c r="D410" s="81"/>
    </row>
    <row r="411" spans="2:4">
      <c r="B411" s="80"/>
      <c r="C411" s="80"/>
      <c r="D411" s="81"/>
    </row>
    <row r="412" spans="2:4">
      <c r="B412" s="80"/>
      <c r="C412" s="80"/>
      <c r="D412" s="81"/>
    </row>
    <row r="413" spans="2:4">
      <c r="B413" s="80"/>
      <c r="C413" s="80"/>
      <c r="D413" s="81"/>
    </row>
    <row r="414" spans="2:4">
      <c r="B414" s="80"/>
      <c r="C414" s="80"/>
      <c r="D414" s="81"/>
    </row>
    <row r="415" spans="2:4">
      <c r="B415" s="80"/>
      <c r="C415" s="80"/>
      <c r="D415" s="81"/>
    </row>
    <row r="416" spans="2:4">
      <c r="B416" s="80"/>
      <c r="C416" s="80"/>
      <c r="D416" s="81"/>
    </row>
    <row r="417" spans="2:4">
      <c r="B417" s="80"/>
      <c r="C417" s="80"/>
      <c r="D417" s="81"/>
    </row>
    <row r="418" spans="2:4">
      <c r="B418" s="80"/>
      <c r="C418" s="80"/>
      <c r="D418" s="81"/>
    </row>
    <row r="419" spans="2:4">
      <c r="B419" s="80"/>
      <c r="C419" s="80"/>
      <c r="D419" s="81"/>
    </row>
    <row r="420" spans="2:4">
      <c r="B420" s="80"/>
      <c r="C420" s="80"/>
      <c r="D420" s="81"/>
    </row>
    <row r="421" spans="2:4">
      <c r="B421" s="80"/>
      <c r="C421" s="80"/>
      <c r="D421" s="81"/>
    </row>
    <row r="422" spans="2:4">
      <c r="B422" s="80"/>
      <c r="C422" s="80"/>
      <c r="D422" s="81"/>
    </row>
    <row r="423" spans="2:4">
      <c r="B423" s="80"/>
      <c r="C423" s="80"/>
      <c r="D423" s="81"/>
    </row>
    <row r="424" spans="2:4">
      <c r="B424" s="80"/>
      <c r="C424" s="80"/>
      <c r="D424" s="81"/>
    </row>
    <row r="425" spans="2:4">
      <c r="B425" s="80"/>
      <c r="C425" s="80"/>
      <c r="D425" s="81"/>
    </row>
    <row r="426" spans="2:4">
      <c r="B426" s="80"/>
      <c r="C426" s="80"/>
      <c r="D426" s="81"/>
    </row>
    <row r="427" spans="2:4">
      <c r="B427" s="80"/>
      <c r="C427" s="80"/>
      <c r="D427" s="81"/>
    </row>
    <row r="428" spans="2:4">
      <c r="B428" s="80"/>
      <c r="C428" s="80"/>
      <c r="D428" s="81"/>
    </row>
    <row r="429" spans="2:4">
      <c r="B429" s="80"/>
      <c r="C429" s="80"/>
      <c r="D429" s="81"/>
    </row>
    <row r="430" spans="2:4">
      <c r="B430" s="80"/>
      <c r="C430" s="80"/>
      <c r="D430" s="81"/>
    </row>
    <row r="431" spans="2:4">
      <c r="B431" s="80"/>
      <c r="C431" s="80"/>
      <c r="D431" s="81"/>
    </row>
    <row r="432" spans="2:4">
      <c r="B432" s="80"/>
      <c r="C432" s="80"/>
      <c r="D432" s="81"/>
    </row>
    <row r="433" spans="2:4">
      <c r="B433" s="80"/>
      <c r="C433" s="80"/>
      <c r="D433" s="81"/>
    </row>
    <row r="434" spans="2:4">
      <c r="B434" s="80"/>
      <c r="C434" s="80"/>
      <c r="D434" s="81"/>
    </row>
    <row r="435" spans="2:4">
      <c r="B435" s="80"/>
      <c r="C435" s="80"/>
      <c r="D435" s="81"/>
    </row>
    <row r="436" spans="2:4">
      <c r="B436" s="80"/>
      <c r="C436" s="80"/>
      <c r="D436" s="81"/>
    </row>
    <row r="437" spans="2:4">
      <c r="B437" s="80"/>
      <c r="C437" s="80"/>
      <c r="D437" s="81"/>
    </row>
    <row r="438" spans="2:4">
      <c r="B438" s="80"/>
      <c r="C438" s="80"/>
      <c r="D438" s="81"/>
    </row>
    <row r="439" spans="2:4">
      <c r="B439" s="80"/>
      <c r="C439" s="80"/>
      <c r="D439" s="81"/>
    </row>
    <row r="440" spans="2:4">
      <c r="B440" s="80"/>
      <c r="C440" s="80"/>
      <c r="D440" s="81"/>
    </row>
    <row r="441" spans="2:4">
      <c r="B441" s="80"/>
      <c r="C441" s="80"/>
      <c r="D441" s="81"/>
    </row>
    <row r="442" spans="2:4">
      <c r="B442" s="80"/>
      <c r="C442" s="80"/>
      <c r="D442" s="81"/>
    </row>
    <row r="443" spans="2:4">
      <c r="B443" s="80"/>
      <c r="C443" s="80"/>
      <c r="D443" s="81"/>
    </row>
    <row r="444" spans="2:4">
      <c r="B444" s="80"/>
      <c r="C444" s="80"/>
      <c r="D444" s="81"/>
    </row>
    <row r="445" spans="2:4">
      <c r="B445" s="80"/>
      <c r="C445" s="80"/>
      <c r="D445" s="81"/>
    </row>
    <row r="446" spans="2:4">
      <c r="B446" s="80"/>
      <c r="C446" s="80"/>
      <c r="D446" s="81"/>
    </row>
    <row r="447" spans="2:4">
      <c r="B447" s="80"/>
      <c r="C447" s="80"/>
      <c r="D447" s="81"/>
    </row>
    <row r="448" spans="2:4">
      <c r="B448" s="80"/>
      <c r="C448" s="80"/>
      <c r="D448" s="81"/>
    </row>
    <row r="449" spans="2:4">
      <c r="B449" s="80"/>
      <c r="C449" s="80"/>
      <c r="D449" s="81"/>
    </row>
    <row r="450" spans="2:4">
      <c r="B450" s="80"/>
      <c r="C450" s="80"/>
      <c r="D450" s="81"/>
    </row>
    <row r="451" spans="2:4">
      <c r="B451" s="80"/>
      <c r="C451" s="80"/>
      <c r="D451" s="81"/>
    </row>
    <row r="452" spans="2:4">
      <c r="B452" s="80"/>
      <c r="C452" s="80"/>
      <c r="D452" s="81"/>
    </row>
    <row r="453" spans="2:4">
      <c r="B453" s="80"/>
      <c r="C453" s="80"/>
      <c r="D453" s="81"/>
    </row>
    <row r="454" spans="2:4">
      <c r="B454" s="80"/>
      <c r="C454" s="80"/>
      <c r="D454" s="81"/>
    </row>
    <row r="455" spans="2:4">
      <c r="B455" s="80"/>
      <c r="C455" s="80"/>
      <c r="D455" s="81"/>
    </row>
    <row r="456" spans="2:4">
      <c r="B456" s="80"/>
      <c r="C456" s="80"/>
      <c r="D456" s="81"/>
    </row>
    <row r="457" spans="2:4">
      <c r="B457" s="80"/>
      <c r="C457" s="80"/>
      <c r="D457" s="81"/>
    </row>
    <row r="458" spans="2:4">
      <c r="B458" s="80"/>
      <c r="C458" s="80"/>
      <c r="D458" s="81"/>
    </row>
    <row r="459" spans="2:4">
      <c r="B459" s="80"/>
      <c r="C459" s="80"/>
      <c r="D459" s="81"/>
    </row>
    <row r="460" spans="2:4">
      <c r="B460" s="80"/>
      <c r="C460" s="80"/>
      <c r="D460" s="81"/>
    </row>
    <row r="461" spans="2:4">
      <c r="B461" s="80"/>
      <c r="C461" s="80"/>
      <c r="D461" s="81"/>
    </row>
    <row r="462" spans="2:4">
      <c r="B462" s="80"/>
      <c r="C462" s="80"/>
      <c r="D462" s="81"/>
    </row>
    <row r="463" spans="2:4">
      <c r="B463" s="80"/>
      <c r="C463" s="80"/>
      <c r="D463" s="81"/>
    </row>
    <row r="464" spans="2:4">
      <c r="B464" s="80"/>
      <c r="C464" s="80"/>
      <c r="D464" s="81"/>
    </row>
    <row r="465" spans="2:4">
      <c r="B465" s="80"/>
      <c r="C465" s="80"/>
      <c r="D465" s="81"/>
    </row>
    <row r="466" spans="2:4">
      <c r="B466" s="80"/>
      <c r="C466" s="80"/>
      <c r="D466" s="81"/>
    </row>
    <row r="467" spans="2:4">
      <c r="B467" s="80"/>
      <c r="C467" s="80"/>
      <c r="D467" s="81"/>
    </row>
    <row r="468" spans="2:4">
      <c r="B468" s="80"/>
      <c r="C468" s="80"/>
      <c r="D468" s="81"/>
    </row>
    <row r="469" spans="2:4">
      <c r="B469" s="80"/>
      <c r="C469" s="80"/>
      <c r="D469" s="81"/>
    </row>
    <row r="470" spans="2:4">
      <c r="B470" s="80"/>
      <c r="C470" s="80"/>
      <c r="D470" s="81"/>
    </row>
    <row r="471" spans="2:4">
      <c r="B471" s="80"/>
      <c r="C471" s="80"/>
      <c r="D471" s="81"/>
    </row>
    <row r="472" spans="2:4">
      <c r="B472" s="80"/>
      <c r="C472" s="80"/>
      <c r="D472" s="81"/>
    </row>
    <row r="473" spans="2:4">
      <c r="B473" s="80"/>
      <c r="C473" s="80"/>
      <c r="D473" s="81"/>
    </row>
    <row r="474" spans="2:4">
      <c r="B474" s="80"/>
      <c r="C474" s="80"/>
      <c r="D474" s="81"/>
    </row>
    <row r="475" spans="2:4">
      <c r="B475" s="80"/>
      <c r="C475" s="80"/>
      <c r="D475" s="81"/>
    </row>
    <row r="476" spans="2:4">
      <c r="B476" s="80"/>
      <c r="C476" s="80"/>
      <c r="D476" s="81"/>
    </row>
    <row r="477" spans="2:4">
      <c r="B477" s="80"/>
      <c r="C477" s="80"/>
      <c r="D477" s="81"/>
    </row>
    <row r="478" spans="2:4">
      <c r="B478" s="80"/>
      <c r="C478" s="80"/>
      <c r="D478" s="81"/>
    </row>
    <row r="479" spans="2:4">
      <c r="B479" s="80"/>
      <c r="C479" s="80"/>
      <c r="D479" s="81"/>
    </row>
    <row r="480" spans="2:4">
      <c r="B480" s="80"/>
      <c r="C480" s="80"/>
      <c r="D480" s="81"/>
    </row>
    <row r="481" spans="2:4">
      <c r="B481" s="80"/>
      <c r="C481" s="80"/>
      <c r="D481" s="81"/>
    </row>
    <row r="482" spans="2:4">
      <c r="B482" s="80"/>
      <c r="C482" s="80"/>
      <c r="D482" s="81"/>
    </row>
    <row r="483" spans="2:4">
      <c r="B483" s="80"/>
      <c r="C483" s="80"/>
      <c r="D483" s="81"/>
    </row>
    <row r="484" spans="2:4">
      <c r="B484" s="80"/>
      <c r="C484" s="80"/>
      <c r="D484" s="81"/>
    </row>
    <row r="485" spans="2:4">
      <c r="B485" s="80"/>
      <c r="C485" s="80"/>
      <c r="D485" s="81"/>
    </row>
    <row r="486" spans="2:4">
      <c r="B486" s="80"/>
      <c r="C486" s="80"/>
      <c r="D486" s="81"/>
    </row>
    <row r="487" spans="2:4">
      <c r="B487" s="80"/>
      <c r="C487" s="80"/>
      <c r="D487" s="81"/>
    </row>
    <row r="488" spans="2:4">
      <c r="B488" s="80"/>
      <c r="C488" s="80"/>
      <c r="D488" s="81"/>
    </row>
    <row r="489" spans="2:4">
      <c r="B489" s="80"/>
      <c r="C489" s="80"/>
      <c r="D489" s="81"/>
    </row>
    <row r="490" spans="2:4">
      <c r="B490" s="80"/>
      <c r="C490" s="80"/>
      <c r="D490" s="81"/>
    </row>
    <row r="491" spans="2:4">
      <c r="B491" s="80"/>
      <c r="C491" s="80"/>
      <c r="D491" s="81"/>
    </row>
    <row r="492" spans="2:4">
      <c r="B492" s="80"/>
      <c r="C492" s="80"/>
      <c r="D492" s="81"/>
    </row>
    <row r="493" spans="2:4">
      <c r="B493" s="80"/>
      <c r="C493" s="80"/>
      <c r="D493" s="81"/>
    </row>
    <row r="494" spans="2:4">
      <c r="B494" s="80"/>
      <c r="C494" s="80"/>
      <c r="D494" s="81"/>
    </row>
    <row r="495" spans="2:4">
      <c r="B495" s="80"/>
      <c r="C495" s="80"/>
      <c r="D495" s="81"/>
    </row>
    <row r="496" spans="2:4">
      <c r="B496" s="80"/>
      <c r="C496" s="80"/>
      <c r="D496" s="81"/>
    </row>
    <row r="497" spans="2:4">
      <c r="B497" s="80"/>
      <c r="C497" s="80"/>
      <c r="D497" s="81"/>
    </row>
    <row r="498" spans="2:4">
      <c r="B498" s="80"/>
      <c r="C498" s="80"/>
      <c r="D498" s="81"/>
    </row>
    <row r="499" spans="2:4">
      <c r="B499" s="80"/>
      <c r="C499" s="80"/>
      <c r="D499" s="81"/>
    </row>
    <row r="500" spans="2:4">
      <c r="B500" s="80"/>
      <c r="C500" s="80"/>
      <c r="D500" s="81"/>
    </row>
    <row r="501" spans="2:4">
      <c r="B501" s="80"/>
      <c r="C501" s="80"/>
      <c r="D501" s="81"/>
    </row>
    <row r="502" spans="2:4">
      <c r="B502" s="80"/>
      <c r="C502" s="80"/>
      <c r="D502" s="81"/>
    </row>
    <row r="503" spans="2:4">
      <c r="B503" s="80"/>
      <c r="C503" s="80"/>
      <c r="D503" s="81"/>
    </row>
    <row r="504" spans="2:4">
      <c r="B504" s="80"/>
      <c r="C504" s="80"/>
      <c r="D504" s="81"/>
    </row>
    <row r="505" spans="2:4">
      <c r="B505" s="80"/>
      <c r="C505" s="80"/>
      <c r="D505" s="81"/>
    </row>
    <row r="506" spans="2:4">
      <c r="B506" s="80"/>
      <c r="C506" s="80"/>
      <c r="D506" s="81"/>
    </row>
    <row r="507" spans="2:4">
      <c r="B507" s="80"/>
      <c r="C507" s="80"/>
      <c r="D507" s="81"/>
    </row>
    <row r="508" spans="2:4">
      <c r="B508" s="80"/>
      <c r="C508" s="80"/>
      <c r="D508" s="81"/>
    </row>
    <row r="509" spans="2:4">
      <c r="B509" s="80"/>
      <c r="C509" s="80"/>
      <c r="D509" s="81"/>
    </row>
    <row r="510" spans="2:4">
      <c r="B510" s="80"/>
      <c r="C510" s="80"/>
      <c r="D510" s="81"/>
    </row>
    <row r="511" spans="2:4">
      <c r="B511" s="80"/>
      <c r="C511" s="80"/>
      <c r="D511" s="81"/>
    </row>
    <row r="512" spans="2:4">
      <c r="B512" s="80"/>
      <c r="C512" s="80"/>
      <c r="D512" s="81"/>
    </row>
    <row r="513" spans="2:4">
      <c r="B513" s="80"/>
      <c r="C513" s="80"/>
      <c r="D513" s="81"/>
    </row>
    <row r="514" spans="2:4">
      <c r="B514" s="80"/>
      <c r="C514" s="80"/>
      <c r="D514" s="81"/>
    </row>
    <row r="515" spans="2:4">
      <c r="B515" s="80"/>
      <c r="C515" s="80"/>
      <c r="D515" s="81"/>
    </row>
    <row r="516" spans="2:4">
      <c r="B516" s="80"/>
      <c r="C516" s="80"/>
      <c r="D516" s="81"/>
    </row>
    <row r="517" spans="2:4">
      <c r="B517" s="80"/>
      <c r="C517" s="80"/>
      <c r="D517" s="81"/>
    </row>
    <row r="518" spans="2:4">
      <c r="B518" s="80"/>
      <c r="C518" s="80"/>
      <c r="D518" s="81"/>
    </row>
    <row r="519" spans="2:4">
      <c r="B519" s="80"/>
      <c r="C519" s="80"/>
      <c r="D519" s="81"/>
    </row>
    <row r="520" spans="2:4">
      <c r="B520" s="80"/>
      <c r="C520" s="80"/>
      <c r="D520" s="81"/>
    </row>
    <row r="521" spans="2:4">
      <c r="B521" s="80"/>
      <c r="C521" s="80"/>
      <c r="D521" s="81"/>
    </row>
    <row r="522" spans="2:4">
      <c r="B522" s="80"/>
      <c r="C522" s="80"/>
      <c r="D522" s="81"/>
    </row>
    <row r="523" spans="2:4">
      <c r="B523" s="80"/>
      <c r="C523" s="80"/>
      <c r="D523" s="81"/>
    </row>
    <row r="524" spans="2:4">
      <c r="B524" s="80"/>
      <c r="C524" s="80"/>
      <c r="D524" s="81"/>
    </row>
    <row r="525" spans="2:4">
      <c r="B525" s="80"/>
      <c r="C525" s="80"/>
      <c r="D525" s="81"/>
    </row>
    <row r="526" spans="2:4">
      <c r="B526" s="80"/>
      <c r="C526" s="80"/>
      <c r="D526" s="81"/>
    </row>
    <row r="527" spans="2:4">
      <c r="B527" s="80"/>
      <c r="C527" s="80"/>
      <c r="D527" s="81"/>
    </row>
    <row r="528" spans="2:4">
      <c r="B528" s="80"/>
      <c r="C528" s="80"/>
      <c r="D528" s="81"/>
    </row>
    <row r="529" spans="2:4">
      <c r="B529" s="80"/>
      <c r="C529" s="80"/>
      <c r="D529" s="81"/>
    </row>
    <row r="530" spans="2:4">
      <c r="B530" s="80"/>
      <c r="C530" s="80"/>
      <c r="D530" s="81"/>
    </row>
    <row r="531" spans="2:4">
      <c r="B531" s="80"/>
      <c r="C531" s="80"/>
      <c r="D531" s="81"/>
    </row>
    <row r="532" spans="2:4">
      <c r="B532" s="80"/>
      <c r="C532" s="80"/>
      <c r="D532" s="81"/>
    </row>
    <row r="533" spans="2:4">
      <c r="B533" s="80"/>
      <c r="C533" s="80"/>
      <c r="D533" s="81"/>
    </row>
    <row r="534" spans="2:4">
      <c r="B534" s="80"/>
      <c r="C534" s="80"/>
      <c r="D534" s="81"/>
    </row>
    <row r="535" spans="2:4">
      <c r="B535" s="80"/>
      <c r="C535" s="80"/>
      <c r="D535" s="81"/>
    </row>
    <row r="536" spans="2:4">
      <c r="B536" s="80"/>
      <c r="C536" s="80"/>
      <c r="D536" s="81"/>
    </row>
    <row r="537" spans="2:4">
      <c r="B537" s="80"/>
      <c r="C537" s="80"/>
      <c r="D537" s="81"/>
    </row>
    <row r="538" spans="2:4">
      <c r="B538" s="80"/>
      <c r="C538" s="80"/>
      <c r="D538" s="81"/>
    </row>
    <row r="539" spans="2:4">
      <c r="B539" s="80"/>
      <c r="C539" s="80"/>
      <c r="D539" s="81"/>
    </row>
    <row r="540" spans="2:4">
      <c r="B540" s="80"/>
      <c r="C540" s="80"/>
      <c r="D540" s="81"/>
    </row>
    <row r="541" spans="2:4">
      <c r="B541" s="80"/>
      <c r="C541" s="80"/>
      <c r="D541" s="81"/>
    </row>
    <row r="542" spans="2:4">
      <c r="B542" s="80"/>
      <c r="C542" s="80"/>
      <c r="D542" s="81"/>
    </row>
    <row r="543" spans="2:4">
      <c r="B543" s="80"/>
      <c r="C543" s="80"/>
      <c r="D543" s="81"/>
    </row>
    <row r="544" spans="2:4">
      <c r="B544" s="80"/>
      <c r="C544" s="80"/>
      <c r="D544" s="81"/>
    </row>
    <row r="545" spans="2:4">
      <c r="B545" s="80"/>
      <c r="C545" s="80"/>
      <c r="D545" s="81"/>
    </row>
    <row r="546" spans="2:4">
      <c r="B546" s="80"/>
      <c r="C546" s="80"/>
      <c r="D546" s="81"/>
    </row>
    <row r="547" spans="2:4">
      <c r="B547" s="80"/>
      <c r="C547" s="80"/>
      <c r="D547" s="81"/>
    </row>
    <row r="548" spans="2:4">
      <c r="B548" s="80"/>
      <c r="C548" s="80"/>
      <c r="D548" s="81"/>
    </row>
    <row r="549" spans="2:4">
      <c r="B549" s="80"/>
      <c r="C549" s="80"/>
      <c r="D549" s="81"/>
    </row>
    <row r="550" spans="2:4">
      <c r="B550" s="80"/>
      <c r="C550" s="80"/>
      <c r="D550" s="81"/>
    </row>
    <row r="551" spans="2:4">
      <c r="B551" s="80"/>
      <c r="C551" s="80"/>
      <c r="D551" s="81"/>
    </row>
    <row r="552" spans="2:4">
      <c r="B552" s="80"/>
      <c r="C552" s="80"/>
      <c r="D552" s="81"/>
    </row>
    <row r="553" spans="2:4">
      <c r="B553" s="80"/>
      <c r="C553" s="80"/>
      <c r="D553" s="81"/>
    </row>
    <row r="554" spans="2:4">
      <c r="B554" s="80"/>
      <c r="C554" s="80"/>
      <c r="D554" s="81"/>
    </row>
    <row r="555" spans="2:4">
      <c r="B555" s="80"/>
      <c r="C555" s="80"/>
      <c r="D555" s="81"/>
    </row>
    <row r="556" spans="2:4">
      <c r="B556" s="80"/>
      <c r="C556" s="80"/>
      <c r="D556" s="81"/>
    </row>
    <row r="557" spans="2:4">
      <c r="B557" s="80"/>
      <c r="C557" s="80"/>
      <c r="D557" s="81"/>
    </row>
    <row r="558" spans="2:4">
      <c r="B558" s="80"/>
      <c r="C558" s="80"/>
      <c r="D558" s="81"/>
    </row>
    <row r="559" spans="2:4">
      <c r="B559" s="80"/>
      <c r="C559" s="80"/>
      <c r="D559" s="81"/>
    </row>
    <row r="560" spans="2:4">
      <c r="B560" s="80"/>
      <c r="C560" s="80"/>
      <c r="D560" s="81"/>
    </row>
    <row r="561" spans="2:4">
      <c r="B561" s="80"/>
      <c r="C561" s="80"/>
      <c r="D561" s="81"/>
    </row>
    <row r="562" spans="2:4">
      <c r="B562" s="80"/>
      <c r="C562" s="80"/>
      <c r="D562" s="81"/>
    </row>
    <row r="563" spans="2:4">
      <c r="B563" s="80"/>
      <c r="C563" s="80"/>
      <c r="D563" s="81"/>
    </row>
    <row r="564" spans="2:4">
      <c r="B564" s="80"/>
      <c r="C564" s="80"/>
      <c r="D564" s="81"/>
    </row>
    <row r="565" spans="2:4">
      <c r="B565" s="80"/>
      <c r="C565" s="80"/>
      <c r="D565" s="81"/>
    </row>
    <row r="566" spans="2:4">
      <c r="B566" s="80"/>
      <c r="C566" s="80"/>
      <c r="D566" s="81"/>
    </row>
    <row r="567" spans="2:4">
      <c r="B567" s="80"/>
      <c r="C567" s="80"/>
      <c r="D567" s="81"/>
    </row>
    <row r="568" spans="2:4">
      <c r="B568" s="80"/>
      <c r="C568" s="80"/>
      <c r="D568" s="81"/>
    </row>
    <row r="569" spans="2:4">
      <c r="B569" s="80"/>
      <c r="C569" s="80"/>
      <c r="D569" s="81"/>
    </row>
    <row r="570" spans="2:4">
      <c r="B570" s="80"/>
      <c r="C570" s="80"/>
      <c r="D570" s="81"/>
    </row>
    <row r="571" spans="2:4">
      <c r="B571" s="80"/>
      <c r="C571" s="80"/>
      <c r="D571" s="81"/>
    </row>
    <row r="572" spans="2:4">
      <c r="B572" s="80"/>
      <c r="C572" s="80"/>
      <c r="D572" s="81"/>
    </row>
    <row r="573" spans="2:4">
      <c r="B573" s="80"/>
      <c r="C573" s="80"/>
      <c r="D573" s="81"/>
    </row>
    <row r="574" spans="2:4">
      <c r="B574" s="80"/>
      <c r="C574" s="80"/>
      <c r="D574" s="81"/>
    </row>
    <row r="575" spans="2:4">
      <c r="B575" s="80"/>
      <c r="C575" s="80"/>
      <c r="D575" s="81"/>
    </row>
    <row r="576" spans="2:4">
      <c r="B576" s="80"/>
      <c r="C576" s="80"/>
      <c r="D576" s="81"/>
    </row>
    <row r="577" spans="2:4">
      <c r="B577" s="80"/>
      <c r="C577" s="80"/>
      <c r="D577" s="81"/>
    </row>
    <row r="578" spans="2:4">
      <c r="B578" s="80"/>
      <c r="C578" s="80"/>
      <c r="D578" s="81"/>
    </row>
    <row r="579" spans="2:4">
      <c r="B579" s="80"/>
      <c r="C579" s="80"/>
      <c r="D579" s="81"/>
    </row>
    <row r="580" spans="2:4">
      <c r="B580" s="80"/>
      <c r="C580" s="80"/>
      <c r="D580" s="81"/>
    </row>
    <row r="581" spans="2:4">
      <c r="B581" s="80"/>
      <c r="C581" s="80"/>
      <c r="D581" s="81"/>
    </row>
    <row r="582" spans="2:4">
      <c r="B582" s="80"/>
      <c r="C582" s="80"/>
      <c r="D582" s="81"/>
    </row>
    <row r="583" spans="2:4">
      <c r="B583" s="80"/>
      <c r="C583" s="80"/>
      <c r="D583" s="81"/>
    </row>
    <row r="584" spans="2:4">
      <c r="B584" s="80"/>
      <c r="C584" s="80"/>
      <c r="D584" s="81"/>
    </row>
    <row r="585" spans="2:4">
      <c r="B585" s="80"/>
      <c r="C585" s="80"/>
      <c r="D585" s="81"/>
    </row>
    <row r="586" spans="2:4">
      <c r="B586" s="80"/>
      <c r="C586" s="80"/>
      <c r="D586" s="81"/>
    </row>
    <row r="587" spans="2:4">
      <c r="B587" s="80"/>
      <c r="C587" s="80"/>
      <c r="D587" s="81"/>
    </row>
    <row r="588" spans="2:4">
      <c r="B588" s="80"/>
      <c r="C588" s="80"/>
      <c r="D588" s="81"/>
    </row>
    <row r="589" spans="2:4">
      <c r="B589" s="80"/>
      <c r="C589" s="80"/>
      <c r="D589" s="81"/>
    </row>
    <row r="590" spans="2:4">
      <c r="B590" s="80"/>
      <c r="C590" s="80"/>
      <c r="D590" s="81"/>
    </row>
    <row r="591" spans="2:4">
      <c r="B591" s="80"/>
      <c r="C591" s="80"/>
      <c r="D591" s="81"/>
    </row>
    <row r="592" spans="2:4">
      <c r="B592" s="80"/>
      <c r="C592" s="80"/>
      <c r="D592" s="81"/>
    </row>
    <row r="593" spans="2:4">
      <c r="B593" s="80"/>
      <c r="C593" s="80"/>
      <c r="D593" s="81"/>
    </row>
    <row r="594" spans="2:4">
      <c r="B594" s="80"/>
      <c r="C594" s="80"/>
      <c r="D594" s="81"/>
    </row>
    <row r="595" spans="2:4">
      <c r="B595" s="80"/>
      <c r="C595" s="80"/>
      <c r="D595" s="81"/>
    </row>
    <row r="596" spans="2:4">
      <c r="B596" s="80"/>
      <c r="C596" s="80"/>
      <c r="D596" s="81"/>
    </row>
    <row r="597" spans="2:4">
      <c r="B597" s="80"/>
      <c r="C597" s="80"/>
      <c r="D597" s="81"/>
    </row>
    <row r="598" spans="2:4">
      <c r="B598" s="80"/>
      <c r="C598" s="80"/>
      <c r="D598" s="81"/>
    </row>
    <row r="599" spans="2:4">
      <c r="B599" s="80"/>
      <c r="C599" s="80"/>
      <c r="D599" s="81"/>
    </row>
    <row r="600" spans="2:4">
      <c r="B600" s="80"/>
      <c r="C600" s="80"/>
      <c r="D600" s="81"/>
    </row>
    <row r="601" spans="2:4">
      <c r="B601" s="80"/>
      <c r="C601" s="80"/>
      <c r="D601" s="81"/>
    </row>
    <row r="602" spans="2:4">
      <c r="B602" s="80"/>
      <c r="C602" s="80"/>
      <c r="D602" s="81"/>
    </row>
    <row r="603" spans="2:4">
      <c r="B603" s="80"/>
      <c r="C603" s="80"/>
      <c r="D603" s="81"/>
    </row>
    <row r="604" spans="2:4">
      <c r="B604" s="80"/>
      <c r="C604" s="80"/>
      <c r="D604" s="81"/>
    </row>
    <row r="605" spans="2:4">
      <c r="B605" s="80"/>
      <c r="C605" s="80"/>
      <c r="D605" s="81"/>
    </row>
    <row r="606" spans="2:4">
      <c r="B606" s="80"/>
      <c r="C606" s="80"/>
      <c r="D606" s="81"/>
    </row>
    <row r="607" spans="2:4">
      <c r="B607" s="80"/>
      <c r="C607" s="80"/>
      <c r="D607" s="81"/>
    </row>
    <row r="608" spans="2:4">
      <c r="B608" s="80"/>
      <c r="C608" s="80"/>
      <c r="D608" s="81"/>
    </row>
    <row r="609" spans="2:4">
      <c r="B609" s="80"/>
      <c r="C609" s="80"/>
      <c r="D609" s="81"/>
    </row>
    <row r="610" spans="2:4">
      <c r="B610" s="80"/>
      <c r="C610" s="80"/>
      <c r="D610" s="81"/>
    </row>
    <row r="611" spans="2:4">
      <c r="B611" s="80"/>
      <c r="C611" s="80"/>
      <c r="D611" s="81"/>
    </row>
    <row r="612" spans="2:4">
      <c r="B612" s="80"/>
      <c r="C612" s="80"/>
      <c r="D612" s="81"/>
    </row>
    <row r="613" spans="2:4">
      <c r="B613" s="80"/>
      <c r="C613" s="80"/>
      <c r="D613" s="81"/>
    </row>
    <row r="614" spans="2:4">
      <c r="B614" s="80"/>
      <c r="C614" s="80"/>
      <c r="D614" s="81"/>
    </row>
    <row r="615" spans="2:4">
      <c r="B615" s="80"/>
      <c r="C615" s="80"/>
      <c r="D615" s="81"/>
    </row>
    <row r="616" spans="2:4">
      <c r="B616" s="80"/>
      <c r="C616" s="80"/>
      <c r="D616" s="81"/>
    </row>
    <row r="617" spans="2:4">
      <c r="B617" s="80"/>
      <c r="C617" s="80"/>
      <c r="D617" s="81"/>
    </row>
    <row r="618" spans="2:4">
      <c r="B618" s="80"/>
      <c r="C618" s="80"/>
      <c r="D618" s="81"/>
    </row>
    <row r="619" spans="2:4">
      <c r="B619" s="80"/>
      <c r="C619" s="80"/>
      <c r="D619" s="81"/>
    </row>
    <row r="620" spans="2:4">
      <c r="B620" s="80"/>
      <c r="C620" s="80"/>
      <c r="D620" s="81"/>
    </row>
    <row r="621" spans="2:4">
      <c r="B621" s="80"/>
      <c r="C621" s="80"/>
      <c r="D621" s="81"/>
    </row>
    <row r="622" spans="2:4">
      <c r="B622" s="80"/>
      <c r="C622" s="80"/>
      <c r="D622" s="81"/>
    </row>
    <row r="623" spans="2:4">
      <c r="B623" s="80"/>
      <c r="C623" s="80"/>
      <c r="D623" s="81"/>
    </row>
    <row r="624" spans="2:4">
      <c r="B624" s="80"/>
      <c r="C624" s="80"/>
      <c r="D624" s="81"/>
    </row>
    <row r="625" spans="2:4">
      <c r="B625" s="80"/>
      <c r="C625" s="80"/>
      <c r="D625" s="81"/>
    </row>
    <row r="626" spans="2:4">
      <c r="B626" s="80"/>
      <c r="C626" s="80"/>
      <c r="D626" s="81"/>
    </row>
    <row r="627" spans="2:4">
      <c r="B627" s="80"/>
      <c r="C627" s="80"/>
      <c r="D627" s="81"/>
    </row>
    <row r="628" spans="2:4">
      <c r="B628" s="80"/>
      <c r="C628" s="80"/>
      <c r="D628" s="81"/>
    </row>
    <row r="629" spans="2:4">
      <c r="B629" s="80"/>
      <c r="C629" s="80"/>
      <c r="D629" s="81"/>
    </row>
    <row r="630" spans="2:4">
      <c r="B630" s="80"/>
      <c r="C630" s="80"/>
      <c r="D630" s="81"/>
    </row>
    <row r="631" spans="2:4">
      <c r="B631" s="80"/>
      <c r="C631" s="80"/>
      <c r="D631" s="81"/>
    </row>
    <row r="632" spans="2:4">
      <c r="B632" s="80"/>
      <c r="C632" s="80"/>
      <c r="D632" s="81"/>
    </row>
    <row r="633" spans="2:4">
      <c r="B633" s="80"/>
      <c r="C633" s="80"/>
      <c r="D633" s="81"/>
    </row>
    <row r="634" spans="2:4">
      <c r="B634" s="80"/>
      <c r="C634" s="80"/>
      <c r="D634" s="81"/>
    </row>
    <row r="635" spans="2:4">
      <c r="B635" s="80"/>
      <c r="C635" s="80"/>
      <c r="D635" s="81"/>
    </row>
    <row r="636" spans="2:4">
      <c r="B636" s="80"/>
      <c r="C636" s="80"/>
      <c r="D636" s="81"/>
    </row>
    <row r="637" spans="2:4">
      <c r="B637" s="80"/>
      <c r="C637" s="80"/>
      <c r="D637" s="81"/>
    </row>
    <row r="638" spans="2:4">
      <c r="B638" s="80"/>
      <c r="C638" s="80"/>
      <c r="D638" s="81"/>
    </row>
    <row r="639" spans="2:4">
      <c r="B639" s="80"/>
      <c r="C639" s="80"/>
      <c r="D639" s="81"/>
    </row>
    <row r="640" spans="2:4">
      <c r="B640" s="80"/>
      <c r="C640" s="80"/>
      <c r="D640" s="81"/>
    </row>
    <row r="641" spans="2:4">
      <c r="B641" s="80"/>
      <c r="C641" s="80"/>
      <c r="D641" s="81"/>
    </row>
    <row r="642" spans="2:4">
      <c r="B642" s="80"/>
      <c r="C642" s="80"/>
      <c r="D642" s="81"/>
    </row>
    <row r="643" spans="2:4">
      <c r="B643" s="80"/>
      <c r="C643" s="80"/>
      <c r="D643" s="81"/>
    </row>
    <row r="644" spans="2:4">
      <c r="B644" s="80"/>
      <c r="C644" s="80"/>
      <c r="D644" s="81"/>
    </row>
    <row r="645" spans="2:4">
      <c r="B645" s="80"/>
      <c r="C645" s="80"/>
      <c r="D645" s="81"/>
    </row>
    <row r="646" spans="2:4">
      <c r="B646" s="80"/>
      <c r="C646" s="80"/>
      <c r="D646" s="81"/>
    </row>
    <row r="647" spans="2:4">
      <c r="B647" s="80"/>
      <c r="C647" s="80"/>
      <c r="D647" s="81"/>
    </row>
    <row r="648" spans="2:4">
      <c r="B648" s="80"/>
      <c r="C648" s="80"/>
      <c r="D648" s="81"/>
    </row>
    <row r="649" spans="2:4">
      <c r="B649" s="80"/>
      <c r="C649" s="80"/>
      <c r="D649" s="81"/>
    </row>
    <row r="650" spans="2:4">
      <c r="B650" s="80"/>
      <c r="C650" s="80"/>
      <c r="D650" s="81"/>
    </row>
    <row r="651" spans="2:4">
      <c r="B651" s="80"/>
      <c r="C651" s="80"/>
      <c r="D651" s="81"/>
    </row>
    <row r="652" spans="2:4">
      <c r="B652" s="80"/>
      <c r="C652" s="80"/>
      <c r="D652" s="81"/>
    </row>
    <row r="653" spans="2:4">
      <c r="B653" s="80"/>
      <c r="C653" s="80"/>
      <c r="D653" s="81"/>
    </row>
    <row r="654" spans="2:4">
      <c r="B654" s="80"/>
      <c r="C654" s="80"/>
      <c r="D654" s="81"/>
    </row>
    <row r="655" spans="2:4">
      <c r="B655" s="80"/>
      <c r="C655" s="80"/>
      <c r="D655" s="81"/>
    </row>
    <row r="656" spans="2:4">
      <c r="B656" s="80"/>
      <c r="C656" s="80"/>
      <c r="D656" s="81"/>
    </row>
    <row r="657" spans="2:4">
      <c r="B657" s="80"/>
      <c r="C657" s="80"/>
      <c r="D657" s="81"/>
    </row>
    <row r="658" spans="2:4">
      <c r="B658" s="80"/>
      <c r="C658" s="80"/>
      <c r="D658" s="81"/>
    </row>
    <row r="659" spans="2:4">
      <c r="B659" s="80"/>
      <c r="C659" s="80"/>
      <c r="D659" s="81"/>
    </row>
    <row r="660" spans="2:4">
      <c r="B660" s="80"/>
      <c r="C660" s="80"/>
      <c r="D660" s="81"/>
    </row>
    <row r="661" spans="2:4">
      <c r="B661" s="80"/>
      <c r="C661" s="80"/>
      <c r="D661" s="81"/>
    </row>
    <row r="662" spans="2:4">
      <c r="B662" s="80"/>
      <c r="C662" s="80"/>
      <c r="D662" s="81"/>
    </row>
    <row r="663" spans="2:4">
      <c r="B663" s="80"/>
      <c r="C663" s="80"/>
      <c r="D663" s="81"/>
    </row>
    <row r="664" spans="2:4">
      <c r="B664" s="80"/>
      <c r="C664" s="80"/>
      <c r="D664" s="81"/>
    </row>
    <row r="665" spans="2:4">
      <c r="B665" s="80"/>
      <c r="C665" s="80"/>
      <c r="D665" s="81"/>
    </row>
    <row r="666" spans="2:4">
      <c r="B666" s="80"/>
      <c r="C666" s="80"/>
      <c r="D666" s="81"/>
    </row>
    <row r="667" spans="2:4">
      <c r="B667" s="80"/>
      <c r="C667" s="80"/>
      <c r="D667" s="81"/>
    </row>
    <row r="668" spans="2:4">
      <c r="B668" s="80"/>
      <c r="C668" s="80"/>
      <c r="D668" s="81"/>
    </row>
    <row r="669" spans="2:4">
      <c r="B669" s="80"/>
      <c r="C669" s="80"/>
      <c r="D669" s="81"/>
    </row>
    <row r="670" spans="2:4">
      <c r="B670" s="80"/>
      <c r="C670" s="80"/>
      <c r="D670" s="81"/>
    </row>
    <row r="671" spans="2:4">
      <c r="B671" s="80"/>
      <c r="C671" s="80"/>
      <c r="D671" s="81"/>
    </row>
    <row r="672" spans="2:4">
      <c r="B672" s="80"/>
      <c r="C672" s="80"/>
      <c r="D672" s="81"/>
    </row>
    <row r="673" spans="2:4">
      <c r="B673" s="80"/>
      <c r="C673" s="80"/>
      <c r="D673" s="81"/>
    </row>
    <row r="674" spans="2:4">
      <c r="B674" s="80"/>
      <c r="C674" s="80"/>
      <c r="D674" s="81"/>
    </row>
    <row r="675" spans="2:4">
      <c r="B675" s="80"/>
      <c r="C675" s="80"/>
      <c r="D675" s="81"/>
    </row>
    <row r="676" spans="2:4">
      <c r="B676" s="80"/>
      <c r="C676" s="80"/>
      <c r="D676" s="81"/>
    </row>
    <row r="677" spans="2:4">
      <c r="B677" s="80"/>
      <c r="C677" s="80"/>
      <c r="D677" s="81"/>
    </row>
    <row r="678" spans="2:4">
      <c r="B678" s="80"/>
      <c r="C678" s="80"/>
      <c r="D678" s="81"/>
    </row>
    <row r="679" spans="2:4">
      <c r="B679" s="80"/>
      <c r="C679" s="80"/>
      <c r="D679" s="81"/>
    </row>
    <row r="680" spans="2:4">
      <c r="B680" s="80"/>
      <c r="C680" s="80"/>
      <c r="D680" s="81"/>
    </row>
    <row r="681" spans="2:4">
      <c r="B681" s="80"/>
      <c r="C681" s="80"/>
      <c r="D681" s="81"/>
    </row>
    <row r="682" spans="2:4">
      <c r="B682" s="80"/>
      <c r="C682" s="80"/>
      <c r="D682" s="81"/>
    </row>
    <row r="683" spans="2:4">
      <c r="B683" s="80"/>
      <c r="C683" s="80"/>
      <c r="D683" s="81"/>
    </row>
    <row r="684" spans="2:4">
      <c r="B684" s="80"/>
      <c r="C684" s="80"/>
      <c r="D684" s="81"/>
    </row>
    <row r="685" spans="2:4">
      <c r="B685" s="80"/>
      <c r="C685" s="80"/>
      <c r="D685" s="81"/>
    </row>
    <row r="686" spans="2:4">
      <c r="B686" s="80"/>
      <c r="C686" s="80"/>
      <c r="D686" s="81"/>
    </row>
    <row r="687" spans="2:4">
      <c r="B687" s="80"/>
      <c r="C687" s="80"/>
      <c r="D687" s="81"/>
    </row>
    <row r="688" spans="2:4">
      <c r="B688" s="80"/>
      <c r="C688" s="80"/>
      <c r="D688" s="81"/>
    </row>
    <row r="689" spans="2:4">
      <c r="B689" s="80"/>
      <c r="C689" s="80"/>
      <c r="D689" s="81"/>
    </row>
    <row r="690" spans="2:4">
      <c r="B690" s="80"/>
      <c r="C690" s="80"/>
      <c r="D690" s="81"/>
    </row>
    <row r="691" spans="2:4">
      <c r="B691" s="80"/>
      <c r="C691" s="80"/>
      <c r="D691" s="81"/>
    </row>
    <row r="692" spans="2:4">
      <c r="B692" s="80"/>
      <c r="C692" s="80"/>
      <c r="D692" s="81"/>
    </row>
    <row r="693" spans="2:4">
      <c r="B693" s="80"/>
      <c r="C693" s="80"/>
      <c r="D693" s="81"/>
    </row>
    <row r="694" spans="2:4">
      <c r="B694" s="80"/>
      <c r="C694" s="80"/>
      <c r="D694" s="81"/>
    </row>
    <row r="695" spans="2:4">
      <c r="B695" s="80"/>
      <c r="C695" s="80"/>
      <c r="D695" s="81"/>
    </row>
    <row r="696" spans="2:4">
      <c r="B696" s="80"/>
      <c r="C696" s="80"/>
      <c r="D696" s="81"/>
    </row>
    <row r="697" spans="2:4">
      <c r="B697" s="80"/>
      <c r="C697" s="80"/>
      <c r="D697" s="81"/>
    </row>
    <row r="698" spans="2:4">
      <c r="B698" s="80"/>
      <c r="C698" s="80"/>
      <c r="D698" s="81"/>
    </row>
    <row r="699" spans="2:4">
      <c r="B699" s="80"/>
      <c r="C699" s="80"/>
      <c r="D699" s="81"/>
    </row>
    <row r="700" spans="2:4">
      <c r="B700" s="80"/>
      <c r="C700" s="80"/>
      <c r="D700" s="81"/>
    </row>
    <row r="701" spans="2:4">
      <c r="B701" s="80"/>
      <c r="C701" s="80"/>
      <c r="D701" s="81"/>
    </row>
    <row r="702" spans="2:4">
      <c r="B702" s="80"/>
      <c r="C702" s="80"/>
      <c r="D702" s="81"/>
    </row>
    <row r="703" spans="2:4">
      <c r="B703" s="80"/>
      <c r="C703" s="80"/>
      <c r="D703" s="81"/>
    </row>
    <row r="704" spans="2:4">
      <c r="B704" s="80"/>
      <c r="C704" s="80"/>
      <c r="D704" s="81"/>
    </row>
    <row r="705" spans="2:4">
      <c r="B705" s="80"/>
      <c r="C705" s="80"/>
      <c r="D705" s="81"/>
    </row>
    <row r="706" spans="2:4">
      <c r="B706" s="80"/>
      <c r="C706" s="80"/>
      <c r="D706" s="81"/>
    </row>
    <row r="707" spans="2:4">
      <c r="B707" s="80"/>
      <c r="C707" s="80"/>
      <c r="D707" s="81"/>
    </row>
    <row r="708" spans="2:4">
      <c r="B708" s="80"/>
      <c r="C708" s="80"/>
      <c r="D708" s="81"/>
    </row>
    <row r="709" spans="2:4">
      <c r="B709" s="80"/>
      <c r="C709" s="80"/>
      <c r="D709" s="81"/>
    </row>
    <row r="710" spans="2:4">
      <c r="B710" s="80"/>
      <c r="C710" s="80"/>
      <c r="D710" s="81"/>
    </row>
    <row r="711" spans="2:4">
      <c r="B711" s="80"/>
      <c r="C711" s="80"/>
      <c r="D711" s="81"/>
    </row>
    <row r="712" spans="2:4">
      <c r="B712" s="80"/>
      <c r="C712" s="80"/>
      <c r="D712" s="81"/>
    </row>
    <row r="713" spans="2:4">
      <c r="B713" s="80"/>
      <c r="C713" s="80"/>
      <c r="D713" s="81"/>
    </row>
    <row r="714" spans="2:4">
      <c r="B714" s="80"/>
      <c r="C714" s="80"/>
      <c r="D714" s="81"/>
    </row>
    <row r="715" spans="2:4">
      <c r="B715" s="80"/>
      <c r="C715" s="80"/>
      <c r="D715" s="81"/>
    </row>
    <row r="716" spans="2:4">
      <c r="B716" s="80"/>
      <c r="C716" s="80"/>
      <c r="D716" s="81"/>
    </row>
    <row r="717" spans="2:4">
      <c r="B717" s="80"/>
      <c r="C717" s="80"/>
      <c r="D717" s="81"/>
    </row>
    <row r="718" spans="2:4">
      <c r="B718" s="80"/>
      <c r="C718" s="80"/>
      <c r="D718" s="81"/>
    </row>
    <row r="719" spans="2:4">
      <c r="B719" s="80"/>
      <c r="C719" s="80"/>
      <c r="D719" s="81"/>
    </row>
    <row r="720" spans="2:4">
      <c r="B720" s="80"/>
      <c r="C720" s="80"/>
      <c r="D720" s="81"/>
    </row>
    <row r="721" spans="2:4">
      <c r="B721" s="80"/>
      <c r="C721" s="80"/>
      <c r="D721" s="81"/>
    </row>
    <row r="722" spans="2:4">
      <c r="B722" s="80"/>
      <c r="C722" s="80"/>
      <c r="D722" s="81"/>
    </row>
    <row r="723" spans="2:4">
      <c r="B723" s="80"/>
      <c r="C723" s="80"/>
      <c r="D723" s="81"/>
    </row>
    <row r="724" spans="2:4">
      <c r="B724" s="80"/>
      <c r="C724" s="80"/>
      <c r="D724" s="81"/>
    </row>
    <row r="725" spans="2:4">
      <c r="B725" s="80"/>
      <c r="C725" s="80"/>
      <c r="D725" s="81"/>
    </row>
    <row r="726" spans="2:4">
      <c r="B726" s="80"/>
      <c r="C726" s="80"/>
      <c r="D726" s="81"/>
    </row>
    <row r="727" spans="2:4">
      <c r="B727" s="80"/>
      <c r="C727" s="80"/>
      <c r="D727" s="81"/>
    </row>
    <row r="728" spans="2:4">
      <c r="B728" s="80"/>
      <c r="C728" s="80"/>
      <c r="D728" s="81"/>
    </row>
    <row r="729" spans="2:4">
      <c r="B729" s="80"/>
      <c r="C729" s="80"/>
      <c r="D729" s="81"/>
    </row>
    <row r="730" spans="2:4">
      <c r="B730" s="80"/>
      <c r="C730" s="80"/>
      <c r="D730" s="81"/>
    </row>
    <row r="731" spans="2:4">
      <c r="B731" s="80"/>
      <c r="C731" s="80"/>
      <c r="D731" s="81"/>
    </row>
    <row r="732" spans="2:4">
      <c r="B732" s="80"/>
      <c r="C732" s="80"/>
      <c r="D732" s="81"/>
    </row>
    <row r="733" spans="2:4">
      <c r="B733" s="80"/>
      <c r="C733" s="80"/>
      <c r="D733" s="81"/>
    </row>
    <row r="734" spans="2:4">
      <c r="B734" s="80"/>
      <c r="C734" s="80"/>
      <c r="D734" s="81"/>
    </row>
    <row r="735" spans="2:4">
      <c r="B735" s="80"/>
      <c r="C735" s="80"/>
      <c r="D735" s="81"/>
    </row>
    <row r="736" spans="2:4">
      <c r="B736" s="80"/>
      <c r="C736" s="80"/>
      <c r="D736" s="81"/>
    </row>
    <row r="737" spans="2:4">
      <c r="B737" s="80"/>
      <c r="C737" s="80"/>
      <c r="D737" s="81"/>
    </row>
    <row r="738" spans="2:4">
      <c r="B738" s="80"/>
      <c r="C738" s="80"/>
      <c r="D738" s="81"/>
    </row>
    <row r="739" spans="2:4">
      <c r="B739" s="80"/>
      <c r="C739" s="80"/>
      <c r="D739" s="81"/>
    </row>
    <row r="740" spans="2:4">
      <c r="B740" s="80"/>
      <c r="C740" s="80"/>
      <c r="D740" s="81"/>
    </row>
    <row r="741" spans="2:4">
      <c r="B741" s="80"/>
      <c r="C741" s="80"/>
      <c r="D741" s="81"/>
    </row>
    <row r="742" spans="2:4">
      <c r="B742" s="80"/>
      <c r="C742" s="80"/>
      <c r="D742" s="81"/>
    </row>
    <row r="743" spans="2:4">
      <c r="B743" s="80"/>
      <c r="C743" s="80"/>
      <c r="D743" s="81"/>
    </row>
    <row r="744" spans="2:4">
      <c r="B744" s="80"/>
      <c r="C744" s="80"/>
      <c r="D744" s="81"/>
    </row>
    <row r="745" spans="2:4">
      <c r="B745" s="80"/>
      <c r="C745" s="80"/>
      <c r="D745" s="81"/>
    </row>
    <row r="746" spans="2:4">
      <c r="B746" s="80"/>
      <c r="C746" s="80"/>
      <c r="D746" s="81"/>
    </row>
    <row r="747" spans="2:4">
      <c r="B747" s="80"/>
      <c r="C747" s="80"/>
      <c r="D747" s="81"/>
    </row>
    <row r="748" spans="2:4">
      <c r="B748" s="80"/>
      <c r="C748" s="80"/>
      <c r="D748" s="81"/>
    </row>
    <row r="749" spans="2:4">
      <c r="B749" s="80"/>
      <c r="C749" s="80"/>
      <c r="D749" s="81"/>
    </row>
    <row r="750" spans="2:4">
      <c r="B750" s="80"/>
      <c r="C750" s="80"/>
      <c r="D750" s="81"/>
    </row>
    <row r="751" spans="2:4">
      <c r="B751" s="80"/>
      <c r="C751" s="80"/>
      <c r="D751" s="81"/>
    </row>
    <row r="752" spans="2:4">
      <c r="B752" s="80"/>
      <c r="C752" s="80"/>
      <c r="D752" s="81"/>
    </row>
    <row r="753" spans="2:4">
      <c r="B753" s="80"/>
      <c r="C753" s="80"/>
      <c r="D753" s="81"/>
    </row>
    <row r="754" spans="2:4">
      <c r="B754" s="80"/>
      <c r="C754" s="80"/>
      <c r="D754" s="81"/>
    </row>
    <row r="755" spans="2:4">
      <c r="B755" s="80"/>
      <c r="C755" s="80"/>
      <c r="D755" s="81"/>
    </row>
    <row r="756" spans="2:4">
      <c r="B756" s="80"/>
      <c r="C756" s="80"/>
      <c r="D756" s="81"/>
    </row>
    <row r="757" spans="2:4">
      <c r="B757" s="80"/>
      <c r="C757" s="80"/>
      <c r="D757" s="81"/>
    </row>
    <row r="758" spans="2:4">
      <c r="B758" s="80"/>
      <c r="C758" s="80"/>
      <c r="D758" s="81"/>
    </row>
    <row r="759" spans="2:4">
      <c r="B759" s="80"/>
      <c r="C759" s="80"/>
      <c r="D759" s="81"/>
    </row>
    <row r="760" spans="2:4">
      <c r="B760" s="80"/>
      <c r="C760" s="80"/>
      <c r="D760" s="81"/>
    </row>
    <row r="761" spans="2:4">
      <c r="B761" s="80"/>
      <c r="C761" s="80"/>
      <c r="D761" s="81"/>
    </row>
    <row r="762" spans="2:4">
      <c r="B762" s="80"/>
      <c r="C762" s="80"/>
      <c r="D762" s="81"/>
    </row>
    <row r="763" spans="2:4">
      <c r="B763" s="80"/>
      <c r="C763" s="80"/>
      <c r="D763" s="81"/>
    </row>
    <row r="764" spans="2:4">
      <c r="B764" s="80"/>
      <c r="C764" s="80"/>
      <c r="D764" s="81"/>
    </row>
    <row r="765" spans="2:4">
      <c r="B765" s="80"/>
      <c r="C765" s="80"/>
      <c r="D765" s="81"/>
    </row>
    <row r="766" spans="2:4">
      <c r="B766" s="80"/>
      <c r="C766" s="80"/>
      <c r="D766" s="81"/>
    </row>
    <row r="767" spans="2:4">
      <c r="B767" s="80"/>
      <c r="C767" s="80"/>
      <c r="D767" s="81"/>
    </row>
    <row r="768" spans="2:4">
      <c r="B768" s="80"/>
      <c r="C768" s="80"/>
      <c r="D768" s="81"/>
    </row>
    <row r="769" spans="2:4">
      <c r="B769" s="80"/>
      <c r="C769" s="80"/>
      <c r="D769" s="81"/>
    </row>
    <row r="770" spans="2:4">
      <c r="B770" s="80"/>
      <c r="C770" s="80"/>
      <c r="D770" s="81"/>
    </row>
    <row r="771" spans="2:4">
      <c r="B771" s="80"/>
      <c r="C771" s="80"/>
      <c r="D771" s="81"/>
    </row>
    <row r="772" spans="2:4">
      <c r="B772" s="80"/>
      <c r="C772" s="80"/>
      <c r="D772" s="81"/>
    </row>
    <row r="773" spans="2:4">
      <c r="B773" s="80"/>
      <c r="C773" s="80"/>
      <c r="D773" s="81"/>
    </row>
    <row r="774" spans="2:4">
      <c r="B774" s="80"/>
      <c r="C774" s="80"/>
      <c r="D774" s="81"/>
    </row>
    <row r="775" spans="2:4">
      <c r="B775" s="80"/>
      <c r="C775" s="80"/>
      <c r="D775" s="81"/>
    </row>
    <row r="776" spans="2:4">
      <c r="B776" s="80"/>
      <c r="C776" s="80"/>
      <c r="D776" s="81"/>
    </row>
    <row r="777" spans="2:4">
      <c r="B777" s="80"/>
      <c r="C777" s="80"/>
      <c r="D777" s="81"/>
    </row>
    <row r="778" spans="2:4">
      <c r="B778" s="80"/>
      <c r="C778" s="80"/>
      <c r="D778" s="81"/>
    </row>
    <row r="779" spans="2:4">
      <c r="B779" s="80"/>
      <c r="C779" s="80"/>
      <c r="D779" s="81"/>
    </row>
    <row r="780" spans="2:4">
      <c r="B780" s="80"/>
      <c r="C780" s="80"/>
      <c r="D780" s="81"/>
    </row>
    <row r="781" spans="2:4">
      <c r="B781" s="80"/>
      <c r="C781" s="80"/>
      <c r="D781" s="81"/>
    </row>
    <row r="782" spans="2:4">
      <c r="B782" s="80"/>
      <c r="C782" s="80"/>
      <c r="D782" s="81"/>
    </row>
    <row r="783" spans="2:4">
      <c r="B783" s="80"/>
      <c r="C783" s="80"/>
      <c r="D783" s="81"/>
    </row>
    <row r="784" spans="2:4">
      <c r="B784" s="80"/>
      <c r="C784" s="80"/>
      <c r="D784" s="81"/>
    </row>
    <row r="785" spans="2:4">
      <c r="B785" s="80"/>
      <c r="C785" s="80"/>
      <c r="D785" s="81"/>
    </row>
    <row r="786" spans="2:4">
      <c r="B786" s="80"/>
      <c r="C786" s="80"/>
      <c r="D786" s="81"/>
    </row>
    <row r="787" spans="2:4">
      <c r="B787" s="80"/>
      <c r="C787" s="80"/>
      <c r="D787" s="81"/>
    </row>
    <row r="788" spans="2:4">
      <c r="B788" s="80"/>
      <c r="C788" s="80"/>
      <c r="D788" s="81"/>
    </row>
    <row r="789" spans="2:4">
      <c r="B789" s="80"/>
      <c r="C789" s="80"/>
      <c r="D789" s="81"/>
    </row>
    <row r="790" spans="2:4">
      <c r="B790" s="80"/>
      <c r="C790" s="80"/>
      <c r="D790" s="81"/>
    </row>
    <row r="791" spans="2:4">
      <c r="B791" s="80"/>
      <c r="C791" s="80"/>
      <c r="D791" s="81"/>
    </row>
    <row r="792" spans="2:4">
      <c r="B792" s="80"/>
      <c r="C792" s="80"/>
      <c r="D792" s="81"/>
    </row>
    <row r="793" spans="2:4">
      <c r="B793" s="80"/>
      <c r="C793" s="80"/>
      <c r="D793" s="81"/>
    </row>
    <row r="794" spans="2:4">
      <c r="B794" s="80"/>
      <c r="C794" s="80"/>
      <c r="D794" s="81"/>
    </row>
    <row r="795" spans="2:4">
      <c r="B795" s="80"/>
      <c r="C795" s="80"/>
      <c r="D795" s="81"/>
    </row>
    <row r="796" spans="2:4">
      <c r="B796" s="80"/>
      <c r="C796" s="80"/>
      <c r="D796" s="81"/>
    </row>
    <row r="797" spans="2:4">
      <c r="B797" s="80"/>
      <c r="C797" s="80"/>
      <c r="D797" s="81"/>
    </row>
    <row r="798" spans="2:4">
      <c r="B798" s="80"/>
      <c r="C798" s="80"/>
      <c r="D798" s="81"/>
    </row>
    <row r="799" spans="2:4">
      <c r="B799" s="80"/>
      <c r="C799" s="80"/>
      <c r="D799" s="81"/>
    </row>
    <row r="800" spans="2:4">
      <c r="B800" s="80"/>
      <c r="C800" s="80"/>
      <c r="D800" s="81"/>
    </row>
    <row r="801" spans="2:4">
      <c r="B801" s="80"/>
      <c r="C801" s="80"/>
      <c r="D801" s="81"/>
    </row>
    <row r="802" spans="2:4">
      <c r="B802" s="80"/>
      <c r="C802" s="80"/>
      <c r="D802" s="81"/>
    </row>
    <row r="803" spans="2:4">
      <c r="B803" s="80"/>
      <c r="C803" s="80"/>
      <c r="D803" s="81"/>
    </row>
    <row r="804" spans="2:4">
      <c r="B804" s="80"/>
      <c r="C804" s="80"/>
      <c r="D804" s="81"/>
    </row>
    <row r="805" spans="2:4">
      <c r="B805" s="80"/>
      <c r="C805" s="80"/>
      <c r="D805" s="81"/>
    </row>
    <row r="806" spans="2:4">
      <c r="B806" s="80"/>
      <c r="C806" s="80"/>
      <c r="D806" s="81"/>
    </row>
    <row r="807" spans="2:4">
      <c r="B807" s="80"/>
      <c r="C807" s="80"/>
      <c r="D807" s="81"/>
    </row>
    <row r="808" spans="2:4">
      <c r="B808" s="80"/>
      <c r="C808" s="80"/>
      <c r="D808" s="81"/>
    </row>
    <row r="809" spans="2:4">
      <c r="B809" s="80"/>
      <c r="C809" s="80"/>
      <c r="D809" s="81"/>
    </row>
    <row r="810" spans="2:4">
      <c r="B810" s="80"/>
      <c r="C810" s="80"/>
      <c r="D810" s="81"/>
    </row>
    <row r="811" spans="2:4">
      <c r="B811" s="80"/>
      <c r="C811" s="80"/>
      <c r="D811" s="81"/>
    </row>
    <row r="812" spans="2:4">
      <c r="B812" s="80"/>
      <c r="C812" s="80"/>
      <c r="D812" s="81"/>
    </row>
    <row r="813" spans="2:4">
      <c r="B813" s="80"/>
      <c r="C813" s="80"/>
      <c r="D813" s="81"/>
    </row>
    <row r="814" spans="2:4">
      <c r="B814" s="80"/>
      <c r="C814" s="80"/>
      <c r="D814" s="81"/>
    </row>
    <row r="815" spans="2:4">
      <c r="B815" s="80"/>
      <c r="C815" s="80"/>
      <c r="D815" s="81"/>
    </row>
    <row r="816" spans="2:4">
      <c r="B816" s="80"/>
      <c r="C816" s="80"/>
      <c r="D816" s="81"/>
    </row>
    <row r="817" spans="2:4">
      <c r="B817" s="80"/>
      <c r="C817" s="80"/>
      <c r="D817" s="81"/>
    </row>
    <row r="818" spans="2:4">
      <c r="B818" s="80"/>
      <c r="C818" s="80"/>
      <c r="D818" s="81"/>
    </row>
    <row r="819" spans="2:4">
      <c r="B819" s="80"/>
      <c r="C819" s="80"/>
      <c r="D819" s="81"/>
    </row>
    <row r="820" spans="2:4">
      <c r="B820" s="80"/>
      <c r="C820" s="80"/>
      <c r="D820" s="81"/>
    </row>
    <row r="821" spans="2:4">
      <c r="B821" s="80"/>
      <c r="C821" s="80"/>
      <c r="D821" s="81"/>
    </row>
    <row r="822" spans="2:4">
      <c r="B822" s="80"/>
      <c r="C822" s="80"/>
      <c r="D822" s="81"/>
    </row>
    <row r="823" spans="2:4">
      <c r="B823" s="80"/>
      <c r="C823" s="80"/>
      <c r="D823" s="81"/>
    </row>
    <row r="824" spans="2:4">
      <c r="B824" s="80"/>
      <c r="C824" s="80"/>
      <c r="D824" s="81"/>
    </row>
    <row r="825" spans="2:4">
      <c r="B825" s="80"/>
      <c r="C825" s="80"/>
      <c r="D825" s="81"/>
    </row>
    <row r="826" spans="2:4">
      <c r="B826" s="80"/>
      <c r="C826" s="80"/>
      <c r="D826" s="81"/>
    </row>
    <row r="827" spans="2:4">
      <c r="B827" s="80"/>
      <c r="C827" s="80"/>
      <c r="D827" s="81"/>
    </row>
    <row r="828" spans="2:4">
      <c r="B828" s="80"/>
      <c r="C828" s="80"/>
      <c r="D828" s="81"/>
    </row>
    <row r="829" spans="2:4">
      <c r="B829" s="80"/>
      <c r="C829" s="80"/>
      <c r="D829" s="81"/>
    </row>
    <row r="830" spans="2:4">
      <c r="B830" s="80"/>
      <c r="C830" s="80"/>
      <c r="D830" s="81"/>
    </row>
    <row r="831" spans="2:4">
      <c r="B831" s="80"/>
      <c r="C831" s="80"/>
      <c r="D831" s="81"/>
    </row>
    <row r="832" spans="2:4">
      <c r="B832" s="80"/>
      <c r="C832" s="80"/>
      <c r="D832" s="81"/>
    </row>
    <row r="833" spans="2:4">
      <c r="B833" s="80"/>
      <c r="C833" s="80"/>
      <c r="D833" s="81"/>
    </row>
    <row r="834" spans="2:4">
      <c r="B834" s="80"/>
      <c r="C834" s="80"/>
      <c r="D834" s="81"/>
    </row>
    <row r="835" spans="2:4">
      <c r="B835" s="80"/>
      <c r="C835" s="80"/>
      <c r="D835" s="81"/>
    </row>
    <row r="836" spans="2:4">
      <c r="B836" s="80"/>
      <c r="C836" s="80"/>
      <c r="D836" s="81"/>
    </row>
    <row r="837" spans="2:4">
      <c r="B837" s="80"/>
      <c r="C837" s="80"/>
      <c r="D837" s="81"/>
    </row>
    <row r="838" spans="2:4">
      <c r="B838" s="80"/>
      <c r="C838" s="80"/>
      <c r="D838" s="81"/>
    </row>
    <row r="839" spans="2:4">
      <c r="B839" s="80"/>
      <c r="C839" s="80"/>
      <c r="D839" s="81"/>
    </row>
    <row r="840" spans="2:4">
      <c r="B840" s="80"/>
      <c r="C840" s="80"/>
      <c r="D840" s="81"/>
    </row>
    <row r="841" spans="2:4">
      <c r="B841" s="80"/>
      <c r="C841" s="80"/>
      <c r="D841" s="81"/>
    </row>
    <row r="842" spans="2:4">
      <c r="B842" s="80"/>
      <c r="C842" s="80"/>
      <c r="D842" s="81"/>
    </row>
    <row r="843" spans="2:4">
      <c r="B843" s="80"/>
      <c r="C843" s="80"/>
      <c r="D843" s="81"/>
    </row>
    <row r="844" spans="2:4">
      <c r="B844" s="80"/>
      <c r="C844" s="80"/>
      <c r="D844" s="81"/>
    </row>
    <row r="845" spans="2:4">
      <c r="B845" s="80"/>
      <c r="C845" s="80"/>
      <c r="D845" s="81"/>
    </row>
    <row r="846" spans="2:4">
      <c r="B846" s="80"/>
      <c r="C846" s="80"/>
      <c r="D846" s="81"/>
    </row>
    <row r="847" spans="2:4">
      <c r="B847" s="80"/>
      <c r="C847" s="80"/>
      <c r="D847" s="81"/>
    </row>
    <row r="848" spans="2:4">
      <c r="B848" s="80"/>
      <c r="C848" s="80"/>
      <c r="D848" s="81"/>
    </row>
    <row r="849" spans="2:4">
      <c r="B849" s="80"/>
      <c r="C849" s="80"/>
      <c r="D849" s="81"/>
    </row>
    <row r="850" spans="2:4">
      <c r="B850" s="80"/>
      <c r="C850" s="80"/>
      <c r="D850" s="81"/>
    </row>
    <row r="851" spans="2:4">
      <c r="B851" s="80"/>
      <c r="C851" s="80"/>
      <c r="D851" s="81"/>
    </row>
    <row r="852" spans="2:4">
      <c r="B852" s="80"/>
      <c r="C852" s="80"/>
      <c r="D852" s="81"/>
    </row>
    <row r="853" spans="2:4">
      <c r="B853" s="80"/>
      <c r="C853" s="80"/>
      <c r="D853" s="81"/>
    </row>
    <row r="854" spans="2:4">
      <c r="B854" s="80"/>
      <c r="C854" s="80"/>
      <c r="D854" s="81"/>
    </row>
    <row r="855" spans="2:4">
      <c r="B855" s="80"/>
      <c r="C855" s="80"/>
      <c r="D855" s="81"/>
    </row>
    <row r="856" spans="2:4">
      <c r="B856" s="80"/>
      <c r="C856" s="80"/>
      <c r="D856" s="81"/>
    </row>
    <row r="857" spans="2:4">
      <c r="B857" s="80"/>
      <c r="C857" s="80"/>
      <c r="D857" s="81"/>
    </row>
    <row r="858" spans="2:4">
      <c r="B858" s="80"/>
      <c r="C858" s="80"/>
      <c r="D858" s="81"/>
    </row>
    <row r="859" spans="2:4">
      <c r="B859" s="80"/>
      <c r="C859" s="80"/>
      <c r="D859" s="81"/>
    </row>
    <row r="860" spans="2:4">
      <c r="B860" s="80"/>
      <c r="C860" s="80"/>
      <c r="D860" s="81"/>
    </row>
    <row r="861" spans="2:4">
      <c r="B861" s="80"/>
      <c r="C861" s="80"/>
      <c r="D861" s="81"/>
    </row>
    <row r="862" spans="2:4">
      <c r="B862" s="80"/>
      <c r="C862" s="80"/>
      <c r="D862" s="81"/>
    </row>
    <row r="863" spans="2:4">
      <c r="B863" s="80"/>
      <c r="C863" s="80"/>
      <c r="D863" s="81"/>
    </row>
    <row r="864" spans="2:4">
      <c r="B864" s="80"/>
      <c r="C864" s="80"/>
      <c r="D864" s="81"/>
    </row>
    <row r="865" spans="2:4">
      <c r="B865" s="80"/>
      <c r="C865" s="80"/>
      <c r="D865" s="81"/>
    </row>
    <row r="866" spans="2:4">
      <c r="B866" s="80"/>
      <c r="C866" s="80"/>
      <c r="D866" s="81"/>
    </row>
    <row r="867" spans="2:4">
      <c r="B867" s="80"/>
      <c r="C867" s="80"/>
      <c r="D867" s="81"/>
    </row>
    <row r="868" spans="2:4">
      <c r="B868" s="80"/>
      <c r="C868" s="80"/>
      <c r="D868" s="81"/>
    </row>
    <row r="869" spans="2:4">
      <c r="B869" s="80"/>
      <c r="C869" s="80"/>
      <c r="D869" s="81"/>
    </row>
    <row r="870" spans="2:4">
      <c r="B870" s="80"/>
      <c r="C870" s="80"/>
      <c r="D870" s="81"/>
    </row>
    <row r="871" spans="2:4">
      <c r="B871" s="80"/>
      <c r="C871" s="80"/>
      <c r="D871" s="81"/>
    </row>
    <row r="872" spans="2:4">
      <c r="B872" s="80"/>
      <c r="C872" s="80"/>
      <c r="D872" s="81"/>
    </row>
    <row r="873" spans="2:4">
      <c r="B873" s="80"/>
      <c r="C873" s="80"/>
      <c r="D873" s="81"/>
    </row>
    <row r="874" spans="2:4">
      <c r="B874" s="80"/>
      <c r="C874" s="80"/>
      <c r="D874" s="81"/>
    </row>
    <row r="875" spans="2:4">
      <c r="B875" s="80"/>
      <c r="C875" s="80"/>
      <c r="D875" s="81"/>
    </row>
    <row r="876" spans="2:4">
      <c r="B876" s="80"/>
      <c r="C876" s="80"/>
      <c r="D876" s="81"/>
    </row>
    <row r="877" spans="2:4">
      <c r="B877" s="80"/>
      <c r="C877" s="80"/>
      <c r="D877" s="81"/>
    </row>
    <row r="878" spans="2:4">
      <c r="B878" s="80"/>
      <c r="C878" s="80"/>
      <c r="D878" s="81"/>
    </row>
    <row r="879" spans="2:4">
      <c r="B879" s="80"/>
      <c r="C879" s="80"/>
      <c r="D879" s="81"/>
    </row>
    <row r="880" spans="2:4">
      <c r="B880" s="80"/>
      <c r="C880" s="80"/>
      <c r="D880" s="81"/>
    </row>
    <row r="881" spans="2:4">
      <c r="B881" s="80"/>
      <c r="C881" s="80"/>
      <c r="D881" s="81"/>
    </row>
    <row r="882" spans="2:4">
      <c r="B882" s="80"/>
      <c r="C882" s="80"/>
      <c r="D882" s="81"/>
    </row>
    <row r="883" spans="2:4">
      <c r="B883" s="80"/>
      <c r="C883" s="80"/>
      <c r="D883" s="81"/>
    </row>
    <row r="884" spans="2:4">
      <c r="B884" s="80"/>
      <c r="C884" s="80"/>
      <c r="D884" s="81"/>
    </row>
    <row r="885" spans="2:4">
      <c r="B885" s="80"/>
      <c r="C885" s="80"/>
      <c r="D885" s="81"/>
    </row>
    <row r="886" spans="2:4">
      <c r="B886" s="80"/>
      <c r="C886" s="80"/>
      <c r="D886" s="81"/>
    </row>
    <row r="887" spans="2:4">
      <c r="B887" s="80"/>
      <c r="C887" s="80"/>
      <c r="D887" s="81"/>
    </row>
    <row r="888" spans="2:4">
      <c r="B888" s="80"/>
      <c r="C888" s="80"/>
      <c r="D888" s="81"/>
    </row>
    <row r="889" spans="2:4">
      <c r="B889" s="80"/>
      <c r="C889" s="80"/>
      <c r="D889" s="81"/>
    </row>
    <row r="890" spans="2:4">
      <c r="B890" s="80"/>
      <c r="C890" s="80"/>
      <c r="D890" s="81"/>
    </row>
    <row r="891" spans="2:4">
      <c r="B891" s="80"/>
      <c r="C891" s="80"/>
      <c r="D891" s="81"/>
    </row>
    <row r="892" spans="2:4">
      <c r="B892" s="80"/>
      <c r="C892" s="80"/>
      <c r="D892" s="81"/>
    </row>
    <row r="893" spans="2:4">
      <c r="B893" s="80"/>
      <c r="C893" s="80"/>
      <c r="D893" s="81"/>
    </row>
    <row r="894" spans="2:4">
      <c r="B894" s="80"/>
      <c r="C894" s="80"/>
      <c r="D894" s="81"/>
    </row>
    <row r="895" spans="2:4">
      <c r="B895" s="80"/>
      <c r="C895" s="80"/>
      <c r="D895" s="81"/>
    </row>
    <row r="896" spans="2:4">
      <c r="B896" s="80"/>
      <c r="C896" s="80"/>
      <c r="D896" s="81"/>
    </row>
    <row r="897" spans="2:4">
      <c r="B897" s="80"/>
      <c r="C897" s="80"/>
      <c r="D897" s="81"/>
    </row>
    <row r="898" spans="2:4">
      <c r="B898" s="80"/>
      <c r="C898" s="80"/>
      <c r="D898" s="81"/>
    </row>
    <row r="899" spans="2:4">
      <c r="B899" s="80"/>
      <c r="C899" s="80"/>
      <c r="D899" s="81"/>
    </row>
    <row r="900" spans="2:4">
      <c r="B900" s="80"/>
      <c r="C900" s="80"/>
      <c r="D900" s="81"/>
    </row>
    <row r="901" spans="2:4">
      <c r="B901" s="80"/>
      <c r="C901" s="80"/>
      <c r="D901" s="81"/>
    </row>
    <row r="902" spans="2:4">
      <c r="B902" s="80"/>
      <c r="C902" s="80"/>
      <c r="D902" s="81"/>
    </row>
    <row r="903" spans="2:4">
      <c r="B903" s="80"/>
      <c r="C903" s="80"/>
      <c r="D903" s="81"/>
    </row>
    <row r="904" spans="2:4">
      <c r="B904" s="80"/>
      <c r="C904" s="80"/>
      <c r="D904" s="81"/>
    </row>
    <row r="905" spans="2:4">
      <c r="B905" s="80"/>
      <c r="C905" s="80"/>
      <c r="D905" s="81"/>
    </row>
    <row r="906" spans="2:4">
      <c r="B906" s="80"/>
      <c r="C906" s="80"/>
      <c r="D906" s="81"/>
    </row>
    <row r="907" spans="2:4">
      <c r="B907" s="80"/>
      <c r="C907" s="80"/>
      <c r="D907" s="81"/>
    </row>
    <row r="908" spans="2:4">
      <c r="B908" s="80"/>
      <c r="C908" s="80"/>
      <c r="D908" s="81"/>
    </row>
    <row r="909" spans="2:4">
      <c r="B909" s="80"/>
      <c r="C909" s="80"/>
      <c r="D909" s="81"/>
    </row>
    <row r="910" spans="2:4">
      <c r="B910" s="80"/>
      <c r="C910" s="80"/>
      <c r="D910" s="81"/>
    </row>
    <row r="911" spans="2:4">
      <c r="B911" s="80"/>
      <c r="C911" s="80"/>
      <c r="D911" s="81"/>
    </row>
    <row r="912" spans="2:4">
      <c r="B912" s="80"/>
      <c r="C912" s="80"/>
      <c r="D912" s="81"/>
    </row>
    <row r="913" spans="2:4">
      <c r="B913" s="80"/>
      <c r="C913" s="80"/>
      <c r="D913" s="81"/>
    </row>
    <row r="914" spans="2:4">
      <c r="B914" s="80"/>
      <c r="C914" s="80"/>
      <c r="D914" s="81"/>
    </row>
    <row r="915" spans="2:4">
      <c r="B915" s="80"/>
      <c r="C915" s="80"/>
      <c r="D915" s="81"/>
    </row>
    <row r="916" spans="2:4">
      <c r="B916" s="80"/>
      <c r="C916" s="80"/>
      <c r="D916" s="81"/>
    </row>
    <row r="917" spans="2:4">
      <c r="B917" s="80"/>
      <c r="C917" s="80"/>
      <c r="D917" s="81"/>
    </row>
    <row r="918" spans="2:4">
      <c r="B918" s="80"/>
      <c r="C918" s="80"/>
      <c r="D918" s="81"/>
    </row>
    <row r="919" spans="2:4">
      <c r="B919" s="80"/>
      <c r="C919" s="80"/>
      <c r="D919" s="81"/>
    </row>
    <row r="920" spans="2:4">
      <c r="B920" s="80"/>
      <c r="C920" s="80"/>
      <c r="D920" s="81"/>
    </row>
    <row r="921" spans="2:4">
      <c r="B921" s="80"/>
      <c r="C921" s="80"/>
      <c r="D921" s="81"/>
    </row>
    <row r="922" spans="2:4">
      <c r="B922" s="80"/>
      <c r="C922" s="80"/>
      <c r="D922" s="81"/>
    </row>
    <row r="923" spans="2:4">
      <c r="B923" s="80"/>
      <c r="C923" s="80"/>
      <c r="D923" s="81"/>
    </row>
    <row r="924" spans="2:4">
      <c r="B924" s="80"/>
      <c r="C924" s="80"/>
      <c r="D924" s="81"/>
    </row>
    <row r="925" spans="2:4">
      <c r="B925" s="80"/>
      <c r="C925" s="80"/>
      <c r="D925" s="81"/>
    </row>
    <row r="926" spans="2:4">
      <c r="B926" s="80"/>
      <c r="C926" s="80"/>
      <c r="D926" s="81"/>
    </row>
    <row r="927" spans="2:4">
      <c r="B927" s="80"/>
      <c r="C927" s="80"/>
      <c r="D927" s="81"/>
    </row>
    <row r="928" spans="2:4">
      <c r="B928" s="80"/>
      <c r="C928" s="80"/>
      <c r="D928" s="81"/>
    </row>
    <row r="929" spans="2:4">
      <c r="B929" s="80"/>
      <c r="C929" s="80"/>
      <c r="D929" s="81"/>
    </row>
    <row r="930" spans="2:4">
      <c r="B930" s="80"/>
      <c r="C930" s="80"/>
      <c r="D930" s="81"/>
    </row>
    <row r="931" spans="2:4">
      <c r="B931" s="80"/>
      <c r="C931" s="80"/>
      <c r="D931" s="81"/>
    </row>
    <row r="932" spans="2:4">
      <c r="B932" s="80"/>
      <c r="C932" s="80"/>
      <c r="D932" s="81"/>
    </row>
    <row r="933" spans="2:4">
      <c r="B933" s="80"/>
      <c r="C933" s="80"/>
      <c r="D933" s="81"/>
    </row>
    <row r="934" spans="2:4">
      <c r="B934" s="80"/>
      <c r="C934" s="80"/>
      <c r="D934" s="81"/>
    </row>
    <row r="935" spans="2:4">
      <c r="B935" s="80"/>
      <c r="C935" s="80"/>
      <c r="D935" s="81"/>
    </row>
    <row r="936" spans="2:4">
      <c r="B936" s="80"/>
      <c r="C936" s="80"/>
      <c r="D936" s="81"/>
    </row>
    <row r="937" spans="2:4">
      <c r="B937" s="80"/>
      <c r="C937" s="80"/>
      <c r="D937" s="81"/>
    </row>
    <row r="938" spans="2:4">
      <c r="B938" s="80"/>
      <c r="C938" s="80"/>
      <c r="D938" s="81"/>
    </row>
    <row r="939" spans="2:4">
      <c r="B939" s="80"/>
      <c r="C939" s="80"/>
      <c r="D939" s="81"/>
    </row>
    <row r="940" spans="2:4">
      <c r="B940" s="80"/>
      <c r="C940" s="80"/>
      <c r="D940" s="81"/>
    </row>
    <row r="941" spans="2:4">
      <c r="B941" s="80"/>
      <c r="C941" s="80"/>
      <c r="D941" s="81"/>
    </row>
    <row r="942" spans="2:4">
      <c r="B942" s="80"/>
      <c r="C942" s="80"/>
      <c r="D942" s="81"/>
    </row>
    <row r="943" spans="2:4">
      <c r="B943" s="80"/>
      <c r="C943" s="80"/>
      <c r="D943" s="81"/>
    </row>
    <row r="944" spans="2:4">
      <c r="B944" s="80"/>
      <c r="C944" s="80"/>
      <c r="D944" s="81"/>
    </row>
    <row r="945" spans="2:4">
      <c r="B945" s="80"/>
      <c r="C945" s="80"/>
      <c r="D945" s="81"/>
    </row>
    <row r="946" spans="2:4">
      <c r="B946" s="80"/>
      <c r="C946" s="80"/>
      <c r="D946" s="81"/>
    </row>
    <row r="947" spans="2:4">
      <c r="B947" s="80"/>
      <c r="C947" s="80"/>
      <c r="D947" s="81"/>
    </row>
    <row r="948" spans="2:4">
      <c r="B948" s="80"/>
      <c r="C948" s="80"/>
      <c r="D948" s="81"/>
    </row>
    <row r="949" spans="2:4">
      <c r="B949" s="80"/>
      <c r="C949" s="80"/>
      <c r="D949" s="81"/>
    </row>
    <row r="950" spans="2:4">
      <c r="B950" s="80"/>
      <c r="C950" s="80"/>
      <c r="D950" s="81"/>
    </row>
    <row r="951" spans="2:4">
      <c r="B951" s="80"/>
      <c r="C951" s="80"/>
      <c r="D951" s="81"/>
    </row>
    <row r="952" spans="2:4">
      <c r="B952" s="80"/>
      <c r="C952" s="80"/>
      <c r="D952" s="81"/>
    </row>
    <row r="953" spans="2:4">
      <c r="B953" s="80"/>
      <c r="C953" s="80"/>
      <c r="D953" s="81"/>
    </row>
    <row r="954" spans="2:4">
      <c r="B954" s="80"/>
      <c r="C954" s="80"/>
      <c r="D954" s="81"/>
    </row>
    <row r="955" spans="2:4">
      <c r="B955" s="80"/>
      <c r="C955" s="80"/>
      <c r="D955" s="81"/>
    </row>
    <row r="956" spans="2:4">
      <c r="B956" s="80"/>
      <c r="C956" s="80"/>
      <c r="D956" s="81"/>
    </row>
    <row r="957" spans="2:4">
      <c r="B957" s="80"/>
      <c r="C957" s="80"/>
      <c r="D957" s="81"/>
    </row>
    <row r="958" spans="2:4">
      <c r="B958" s="80"/>
      <c r="C958" s="80"/>
      <c r="D958" s="81"/>
    </row>
    <row r="959" spans="2:4">
      <c r="B959" s="80"/>
      <c r="C959" s="80"/>
      <c r="D959" s="81"/>
    </row>
    <row r="960" spans="2:4">
      <c r="B960" s="80"/>
      <c r="C960" s="80"/>
      <c r="D960" s="81"/>
    </row>
    <row r="961" spans="2:4">
      <c r="B961" s="80"/>
      <c r="C961" s="80"/>
      <c r="D961" s="81"/>
    </row>
    <row r="962" spans="2:4">
      <c r="B962" s="80"/>
      <c r="C962" s="80"/>
      <c r="D962" s="81"/>
    </row>
    <row r="963" spans="2:4">
      <c r="B963" s="80"/>
      <c r="C963" s="80"/>
      <c r="D963" s="81"/>
    </row>
    <row r="964" spans="2:4">
      <c r="B964" s="80"/>
      <c r="C964" s="80"/>
      <c r="D964" s="81"/>
    </row>
    <row r="965" spans="2:4">
      <c r="B965" s="80"/>
      <c r="C965" s="80"/>
      <c r="D965" s="81"/>
    </row>
    <row r="966" spans="2:4">
      <c r="B966" s="80"/>
      <c r="C966" s="80"/>
      <c r="D966" s="81"/>
    </row>
    <row r="967" spans="2:4">
      <c r="B967" s="80"/>
      <c r="C967" s="80"/>
      <c r="D967" s="81"/>
    </row>
    <row r="968" spans="2:4">
      <c r="B968" s="80"/>
      <c r="C968" s="80"/>
      <c r="D968" s="81"/>
    </row>
    <row r="969" spans="2:4">
      <c r="B969" s="80"/>
      <c r="C969" s="80"/>
      <c r="D969" s="81"/>
    </row>
    <row r="970" spans="2:4">
      <c r="B970" s="80"/>
      <c r="C970" s="80"/>
      <c r="D970" s="81"/>
    </row>
    <row r="971" spans="2:4">
      <c r="B971" s="80"/>
      <c r="C971" s="80"/>
      <c r="D971" s="81"/>
    </row>
    <row r="972" spans="2:4">
      <c r="B972" s="80"/>
      <c r="C972" s="80"/>
      <c r="D972" s="81"/>
    </row>
    <row r="973" spans="2:4">
      <c r="B973" s="80"/>
      <c r="C973" s="80"/>
      <c r="D973" s="81"/>
    </row>
    <row r="974" spans="2:4">
      <c r="B974" s="80"/>
      <c r="C974" s="80"/>
      <c r="D974" s="81"/>
    </row>
    <row r="975" spans="2:4">
      <c r="B975" s="80"/>
      <c r="C975" s="80"/>
      <c r="D975" s="81"/>
    </row>
    <row r="976" spans="2:4">
      <c r="B976" s="80"/>
      <c r="C976" s="80"/>
      <c r="D976" s="81"/>
    </row>
    <row r="977" spans="2:4">
      <c r="B977" s="80"/>
      <c r="C977" s="80"/>
      <c r="D977" s="81"/>
    </row>
    <row r="978" spans="2:4">
      <c r="B978" s="80"/>
      <c r="C978" s="80"/>
      <c r="D978" s="81"/>
    </row>
    <row r="979" spans="2:4">
      <c r="B979" s="80"/>
      <c r="C979" s="80"/>
      <c r="D979" s="81"/>
    </row>
    <row r="980" spans="2:4">
      <c r="B980" s="80"/>
      <c r="C980" s="80"/>
      <c r="D980" s="81"/>
    </row>
    <row r="981" spans="2:4">
      <c r="B981" s="80"/>
      <c r="C981" s="80"/>
      <c r="D981" s="81"/>
    </row>
    <row r="982" spans="2:4">
      <c r="B982" s="80"/>
      <c r="C982" s="80"/>
      <c r="D982" s="81"/>
    </row>
    <row r="983" spans="2:4">
      <c r="B983" s="80"/>
      <c r="C983" s="80"/>
      <c r="D983" s="81"/>
    </row>
    <row r="984" spans="2:4">
      <c r="B984" s="80"/>
      <c r="C984" s="80"/>
      <c r="D984" s="81"/>
    </row>
    <row r="985" spans="2:4">
      <c r="B985" s="80"/>
      <c r="C985" s="80"/>
      <c r="D985" s="81"/>
    </row>
    <row r="986" spans="2:4">
      <c r="B986" s="80"/>
      <c r="C986" s="80"/>
      <c r="D986" s="81"/>
    </row>
    <row r="987" spans="2:4">
      <c r="B987" s="80"/>
      <c r="C987" s="80"/>
      <c r="D987" s="81"/>
    </row>
    <row r="988" spans="2:4">
      <c r="B988" s="80"/>
      <c r="C988" s="80"/>
      <c r="D988" s="81"/>
    </row>
    <row r="989" spans="2:4">
      <c r="B989" s="80"/>
      <c r="C989" s="80"/>
      <c r="D989" s="81"/>
    </row>
    <row r="990" spans="2:4">
      <c r="B990" s="80"/>
      <c r="C990" s="80"/>
      <c r="D990" s="81"/>
    </row>
    <row r="991" spans="2:4">
      <c r="B991" s="80"/>
      <c r="C991" s="80"/>
      <c r="D991" s="81"/>
    </row>
    <row r="992" spans="2:4">
      <c r="B992" s="80"/>
      <c r="C992" s="80"/>
      <c r="D992" s="81"/>
    </row>
    <row r="993" spans="2:4">
      <c r="B993" s="80"/>
      <c r="C993" s="80"/>
      <c r="D993" s="81"/>
    </row>
    <row r="994" spans="2:4">
      <c r="B994" s="80"/>
      <c r="C994" s="80"/>
      <c r="D994" s="81"/>
    </row>
    <row r="995" spans="2:4">
      <c r="B995" s="80"/>
      <c r="C995" s="80"/>
      <c r="D995" s="81"/>
    </row>
    <row r="996" spans="2:4">
      <c r="B996" s="80"/>
      <c r="C996" s="80"/>
      <c r="D996" s="81"/>
    </row>
    <row r="997" spans="2:4">
      <c r="B997" s="80"/>
      <c r="C997" s="80"/>
      <c r="D997" s="81"/>
    </row>
    <row r="998" spans="2:4">
      <c r="B998" s="80"/>
      <c r="C998" s="80"/>
      <c r="D998" s="81"/>
    </row>
    <row r="999" spans="2:4">
      <c r="B999" s="80"/>
      <c r="C999" s="80"/>
      <c r="D999" s="81"/>
    </row>
    <row r="1000" spans="2:4">
      <c r="B1000" s="80"/>
      <c r="C1000" s="80"/>
      <c r="D1000" s="81"/>
    </row>
  </sheetData>
  <hyperlinks>
    <hyperlink ref="E6" r:id="rId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Analyse Historique</vt:lpstr>
      <vt:lpstr>Hypothèses</vt:lpstr>
      <vt:lpstr>Scénarios Alternatifs </vt:lpstr>
      <vt:lpstr>Scénario Pessimiste + DCF</vt:lpstr>
      <vt:lpstr>Scénario Central + DCF </vt:lpstr>
      <vt:lpstr>Scénario Optimiste + DCF</vt:lpstr>
      <vt:lpstr>Analyse des comparables</vt:lpstr>
      <vt:lpstr>FOOTBALL FIELD VALUATION</vt:lpstr>
      <vt:lpstr>Reputation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2026-03-31T08:47:49Z</dcterms:created>
  <dcterms:modified xsi:type="dcterms:W3CDTF">2026-05-26T09:49:58Z</dcterms:modified>
</cp:coreProperties>
</file>