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OneDrive\Documents\Mémoire\"/>
    </mc:Choice>
  </mc:AlternateContent>
  <xr:revisionPtr revIDLastSave="0" documentId="8_{FBB156B0-91A5-43D1-9F88-26EB072A2315}" xr6:coauthVersionLast="47" xr6:coauthVersionMax="47" xr10:uidLastSave="{00000000-0000-0000-0000-000000000000}"/>
  <bookViews>
    <workbookView xWindow="-110" yWindow="-110" windowWidth="19420" windowHeight="10420" firstSheet="2" activeTab="7" xr2:uid="{8B6111FE-4754-4B50-A79E-C7F2E400CE55}"/>
  </bookViews>
  <sheets>
    <sheet name="Données" sheetId="3" r:id="rId1"/>
    <sheet name="Tableaux de synthèse" sheetId="4" r:id="rId2"/>
    <sheet name="FCFF" sheetId="5" r:id="rId3"/>
    <sheet name="Valorisation" sheetId="6" r:id="rId4"/>
    <sheet name="Comparable" sheetId="7" r:id="rId5"/>
    <sheet name="Sensibilité" sheetId="8" r:id="rId6"/>
    <sheet name="ESG" sheetId="9" r:id="rId7"/>
    <sheet name="Stock réputation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7" l="1"/>
  <c r="B31" i="3"/>
  <c r="C30" i="3"/>
  <c r="R7" i="4" s="1"/>
  <c r="D30" i="3"/>
  <c r="E30" i="3"/>
  <c r="F30" i="3"/>
  <c r="B30" i="3"/>
  <c r="Q7" i="4" s="1"/>
  <c r="F6" i="4"/>
  <c r="C19" i="4" s="1"/>
  <c r="S7" i="4"/>
  <c r="U7" i="4"/>
  <c r="B7" i="4"/>
  <c r="T7" i="4"/>
  <c r="F8" i="7"/>
  <c r="C12" i="7" s="1"/>
  <c r="R5" i="4"/>
  <c r="S5" i="4"/>
  <c r="T5" i="4"/>
  <c r="U5" i="4"/>
  <c r="Q5" i="4"/>
  <c r="E31" i="3"/>
  <c r="E7" i="4"/>
  <c r="B11" i="6"/>
  <c r="B12" i="6"/>
  <c r="F14" i="6"/>
  <c r="N14" i="6" s="1"/>
  <c r="B8" i="6"/>
  <c r="B10" i="6" s="1"/>
  <c r="B16" i="7"/>
  <c r="C16" i="7" s="1"/>
  <c r="C8" i="5"/>
  <c r="D8" i="5"/>
  <c r="E8" i="5"/>
  <c r="F8" i="5"/>
  <c r="B8" i="5"/>
  <c r="C9" i="5"/>
  <c r="D9" i="5"/>
  <c r="E9" i="5"/>
  <c r="F9" i="5"/>
  <c r="B9" i="5"/>
  <c r="F6" i="5"/>
  <c r="F10" i="5" s="1"/>
  <c r="C7" i="5"/>
  <c r="D7" i="5"/>
  <c r="E7" i="5"/>
  <c r="F7" i="5"/>
  <c r="B7" i="5"/>
  <c r="B6" i="5"/>
  <c r="C4" i="5"/>
  <c r="C6" i="5" s="1"/>
  <c r="D4" i="5"/>
  <c r="D6" i="5" s="1"/>
  <c r="E4" i="5"/>
  <c r="F4" i="5"/>
  <c r="B4" i="5"/>
  <c r="C3" i="5"/>
  <c r="D3" i="5"/>
  <c r="E3" i="5"/>
  <c r="F3" i="5"/>
  <c r="G3" i="5" s="1"/>
  <c r="B14" i="7" s="1"/>
  <c r="B3" i="5"/>
  <c r="D6" i="4"/>
  <c r="C17" i="4" s="1"/>
  <c r="B19" i="4"/>
  <c r="B18" i="4"/>
  <c r="B17" i="4"/>
  <c r="B16" i="4"/>
  <c r="B15" i="4"/>
  <c r="K32" i="4"/>
  <c r="L32" i="4"/>
  <c r="M32" i="4"/>
  <c r="N32" i="4"/>
  <c r="J32" i="4"/>
  <c r="K31" i="4"/>
  <c r="L31" i="4"/>
  <c r="M31" i="4"/>
  <c r="N31" i="4"/>
  <c r="J31" i="4"/>
  <c r="C34" i="3"/>
  <c r="D34" i="3"/>
  <c r="L26" i="4" s="1"/>
  <c r="E34" i="3"/>
  <c r="M26" i="4" s="1"/>
  <c r="F34" i="3"/>
  <c r="B34" i="3"/>
  <c r="J26" i="4"/>
  <c r="K26" i="4"/>
  <c r="N26" i="4"/>
  <c r="K25" i="4"/>
  <c r="L25" i="4"/>
  <c r="M25" i="4"/>
  <c r="N25" i="4"/>
  <c r="J25" i="4"/>
  <c r="K24" i="4"/>
  <c r="L24" i="4"/>
  <c r="M24" i="4"/>
  <c r="N24" i="4"/>
  <c r="J24" i="4"/>
  <c r="K23" i="4"/>
  <c r="L23" i="4"/>
  <c r="M23" i="4"/>
  <c r="N23" i="4"/>
  <c r="J23" i="4"/>
  <c r="K16" i="4"/>
  <c r="L16" i="4"/>
  <c r="M16" i="4"/>
  <c r="N16" i="4"/>
  <c r="J16" i="4"/>
  <c r="K15" i="4"/>
  <c r="L15" i="4"/>
  <c r="M15" i="4"/>
  <c r="N15" i="4"/>
  <c r="J15" i="4"/>
  <c r="K14" i="4"/>
  <c r="L14" i="4"/>
  <c r="M14" i="4"/>
  <c r="N14" i="4"/>
  <c r="J14" i="4"/>
  <c r="J9" i="4"/>
  <c r="J8" i="4"/>
  <c r="K5" i="4"/>
  <c r="L5" i="4"/>
  <c r="M5" i="4"/>
  <c r="N5" i="4"/>
  <c r="J5" i="4"/>
  <c r="K4" i="4"/>
  <c r="L4" i="4"/>
  <c r="M4" i="4"/>
  <c r="N4" i="4"/>
  <c r="J4" i="4"/>
  <c r="C9" i="4"/>
  <c r="D9" i="4"/>
  <c r="E9" i="4"/>
  <c r="F9" i="4"/>
  <c r="B9" i="4"/>
  <c r="C8" i="4"/>
  <c r="D8" i="4"/>
  <c r="E8" i="4"/>
  <c r="F8" i="4"/>
  <c r="B8" i="4"/>
  <c r="C31" i="3"/>
  <c r="C7" i="4" s="1"/>
  <c r="D31" i="3"/>
  <c r="D7" i="4" s="1"/>
  <c r="F31" i="3"/>
  <c r="F7" i="4" s="1"/>
  <c r="B6" i="4"/>
  <c r="C15" i="4" s="1"/>
  <c r="C4" i="4"/>
  <c r="R4" i="4" s="1"/>
  <c r="D4" i="4"/>
  <c r="S4" i="4" s="1"/>
  <c r="E4" i="4"/>
  <c r="T4" i="4" s="1"/>
  <c r="F4" i="4"/>
  <c r="U4" i="4" s="1"/>
  <c r="B4" i="4"/>
  <c r="Q4" i="4" s="1"/>
  <c r="C5" i="4"/>
  <c r="D5" i="4"/>
  <c r="E5" i="4"/>
  <c r="F5" i="4"/>
  <c r="B5" i="4"/>
  <c r="C6" i="4"/>
  <c r="C16" i="4" s="1"/>
  <c r="E6" i="4"/>
  <c r="C18" i="4" s="1"/>
  <c r="K9" i="4"/>
  <c r="L9" i="4"/>
  <c r="M9" i="4"/>
  <c r="N9" i="4"/>
  <c r="K6" i="4"/>
  <c r="L6" i="4"/>
  <c r="M6" i="4"/>
  <c r="N6" i="4"/>
  <c r="J6" i="4"/>
  <c r="K8" i="4"/>
  <c r="L8" i="4"/>
  <c r="M8" i="4"/>
  <c r="N8" i="4"/>
  <c r="C33" i="3"/>
  <c r="D33" i="3"/>
  <c r="E33" i="3"/>
  <c r="F33" i="3"/>
  <c r="B33" i="3"/>
  <c r="B29" i="3"/>
  <c r="AT39" i="6"/>
  <c r="AU40" i="6" s="1"/>
  <c r="AL39" i="6"/>
  <c r="AP40" i="6" s="1"/>
  <c r="V39" i="6"/>
  <c r="Y40" i="6" s="1"/>
  <c r="AT22" i="6"/>
  <c r="AU23" i="6" s="1"/>
  <c r="AL22" i="6"/>
  <c r="AM23" i="6" s="1"/>
  <c r="AD22" i="6"/>
  <c r="AE23" i="6" s="1"/>
  <c r="V22" i="6"/>
  <c r="X23" i="6" s="1"/>
  <c r="N22" i="6"/>
  <c r="R23" i="6" s="1"/>
  <c r="AT4" i="6"/>
  <c r="AU5" i="6" s="1"/>
  <c r="AL4" i="6"/>
  <c r="AL5" i="6" s="1"/>
  <c r="V4" i="6"/>
  <c r="X5" i="6" s="1"/>
  <c r="N4" i="6"/>
  <c r="N5" i="6" s="1"/>
  <c r="Q9" i="8"/>
  <c r="J9" i="8"/>
  <c r="Q4" i="8"/>
  <c r="R5" i="8" s="1"/>
  <c r="J4" i="8"/>
  <c r="N5" i="8" s="1"/>
  <c r="B6" i="6"/>
  <c r="E8" i="7"/>
  <c r="B12" i="7" s="1"/>
  <c r="U3" i="5"/>
  <c r="B46" i="5" s="1"/>
  <c r="N3" i="5"/>
  <c r="E6" i="5"/>
  <c r="E10" i="5" s="1"/>
  <c r="T6" i="4" l="1"/>
  <c r="L7" i="4"/>
  <c r="R6" i="4"/>
  <c r="S8" i="4"/>
  <c r="N7" i="4"/>
  <c r="N10" i="4"/>
  <c r="J33" i="4"/>
  <c r="U8" i="4"/>
  <c r="N27" i="4"/>
  <c r="R8" i="4"/>
  <c r="M7" i="4"/>
  <c r="U6" i="4"/>
  <c r="T8" i="4"/>
  <c r="S6" i="4"/>
  <c r="Q8" i="4"/>
  <c r="Q6" i="4"/>
  <c r="B12" i="4"/>
  <c r="B15" i="7"/>
  <c r="B17" i="7" s="1"/>
  <c r="Q5" i="8"/>
  <c r="K27" i="4"/>
  <c r="J10" i="4"/>
  <c r="B11" i="4"/>
  <c r="J17" i="4"/>
  <c r="J18" i="4" s="1"/>
  <c r="J27" i="4"/>
  <c r="K7" i="4"/>
  <c r="L27" i="4"/>
  <c r="M10" i="4"/>
  <c r="J7" i="4"/>
  <c r="M27" i="4"/>
  <c r="B13" i="6"/>
  <c r="G7" i="5"/>
  <c r="B28" i="5"/>
  <c r="B14" i="6"/>
  <c r="C10" i="5"/>
  <c r="D10" i="5"/>
  <c r="B10" i="5"/>
  <c r="L10" i="4"/>
  <c r="K10" i="4"/>
  <c r="M17" i="4"/>
  <c r="M18" i="4" s="1"/>
  <c r="O3" i="5"/>
  <c r="C37" i="5" s="1"/>
  <c r="B37" i="5"/>
  <c r="N7" i="5"/>
  <c r="L33" i="4"/>
  <c r="M33" i="4"/>
  <c r="N33" i="4"/>
  <c r="K33" i="4"/>
  <c r="N17" i="4"/>
  <c r="N18" i="4" s="1"/>
  <c r="K17" i="4"/>
  <c r="K18" i="4" s="1"/>
  <c r="S5" i="8"/>
  <c r="T5" i="8"/>
  <c r="U5" i="8"/>
  <c r="J5" i="8"/>
  <c r="K5" i="8"/>
  <c r="L5" i="8"/>
  <c r="M5" i="8"/>
  <c r="V3" i="5"/>
  <c r="V7" i="5" s="1"/>
  <c r="U7" i="5"/>
  <c r="U8" i="5"/>
  <c r="U4" i="5"/>
  <c r="U6" i="5" s="1"/>
  <c r="N4" i="5"/>
  <c r="N6" i="5" s="1"/>
  <c r="N8" i="5"/>
  <c r="G8" i="5"/>
  <c r="Z40" i="6"/>
  <c r="AM5" i="6"/>
  <c r="Z23" i="6"/>
  <c r="AN5" i="6"/>
  <c r="X40" i="6"/>
  <c r="AO5" i="6"/>
  <c r="W23" i="6"/>
  <c r="V23" i="6"/>
  <c r="AP5" i="6"/>
  <c r="O23" i="6"/>
  <c r="AM40" i="6"/>
  <c r="AV5" i="6"/>
  <c r="AN40" i="6"/>
  <c r="AW5" i="6"/>
  <c r="AX5" i="6"/>
  <c r="AV40" i="6"/>
  <c r="AX40" i="6"/>
  <c r="AW40" i="6"/>
  <c r="AT40" i="6"/>
  <c r="AO40" i="6"/>
  <c r="AL40" i="6"/>
  <c r="W40" i="6"/>
  <c r="V40" i="6"/>
  <c r="AX23" i="6"/>
  <c r="AV23" i="6"/>
  <c r="AW23" i="6"/>
  <c r="AT23" i="6"/>
  <c r="AN23" i="6"/>
  <c r="AO23" i="6"/>
  <c r="AP23" i="6"/>
  <c r="AL23" i="6"/>
  <c r="AF23" i="6"/>
  <c r="AG23" i="6"/>
  <c r="AH23" i="6"/>
  <c r="AD23" i="6"/>
  <c r="Y23" i="6"/>
  <c r="P23" i="6"/>
  <c r="Q23" i="6"/>
  <c r="N23" i="6"/>
  <c r="AT5" i="6"/>
  <c r="W5" i="6"/>
  <c r="Y5" i="6"/>
  <c r="Z5" i="6"/>
  <c r="V5" i="6"/>
  <c r="O5" i="6"/>
  <c r="Q5" i="6"/>
  <c r="R5" i="6"/>
  <c r="P5" i="6"/>
  <c r="G4" i="5"/>
  <c r="C14" i="7" s="1"/>
  <c r="C15" i="7" s="1"/>
  <c r="C17" i="7" s="1"/>
  <c r="H3" i="5"/>
  <c r="L17" i="4"/>
  <c r="L18" i="4" s="1"/>
  <c r="H8" i="5" l="1"/>
  <c r="H4" i="5"/>
  <c r="O7" i="5"/>
  <c r="O4" i="5"/>
  <c r="O6" i="5" s="1"/>
  <c r="P3" i="5"/>
  <c r="D37" i="5" s="1"/>
  <c r="P9" i="5" s="1"/>
  <c r="B15" i="6"/>
  <c r="F4" i="6" s="1"/>
  <c r="O8" i="5"/>
  <c r="N9" i="5"/>
  <c r="N10" i="5" s="1"/>
  <c r="J3" i="8" s="1"/>
  <c r="J6" i="8" s="1"/>
  <c r="G6" i="5"/>
  <c r="C19" i="7"/>
  <c r="U9" i="5"/>
  <c r="U10" i="5" s="1"/>
  <c r="Q3" i="8" s="1"/>
  <c r="Q6" i="8" s="1"/>
  <c r="C46" i="5"/>
  <c r="V8" i="5"/>
  <c r="V4" i="5"/>
  <c r="V6" i="5" s="1"/>
  <c r="W3" i="5"/>
  <c r="D46" i="5" s="1"/>
  <c r="O9" i="5"/>
  <c r="G9" i="5"/>
  <c r="H7" i="5"/>
  <c r="C28" i="5"/>
  <c r="H9" i="5" s="1"/>
  <c r="H6" i="5"/>
  <c r="I3" i="5"/>
  <c r="I8" i="5" s="1"/>
  <c r="B6" i="8" l="1"/>
  <c r="AD39" i="6" s="1"/>
  <c r="AH40" i="6" s="1"/>
  <c r="F5" i="6"/>
  <c r="P7" i="5"/>
  <c r="P8" i="5"/>
  <c r="P4" i="5"/>
  <c r="P6" i="5" s="1"/>
  <c r="O10" i="5"/>
  <c r="K3" i="8" s="1"/>
  <c r="K6" i="8" s="1"/>
  <c r="Q3" i="5"/>
  <c r="Q4" i="5" s="1"/>
  <c r="Q6" i="5" s="1"/>
  <c r="H5" i="6"/>
  <c r="I5" i="6"/>
  <c r="G5" i="6"/>
  <c r="J5" i="6"/>
  <c r="G10" i="5"/>
  <c r="F3" i="6" s="1"/>
  <c r="N3" i="6" s="1"/>
  <c r="W7" i="5"/>
  <c r="X3" i="5"/>
  <c r="W4" i="5"/>
  <c r="W6" i="5" s="1"/>
  <c r="W8" i="5"/>
  <c r="W9" i="5"/>
  <c r="V9" i="5"/>
  <c r="V10" i="5" s="1"/>
  <c r="R3" i="8" s="1"/>
  <c r="R6" i="8" s="1"/>
  <c r="H10" i="5"/>
  <c r="I7" i="5"/>
  <c r="D28" i="5"/>
  <c r="J3" i="5"/>
  <c r="J8" i="5" s="1"/>
  <c r="I4" i="5"/>
  <c r="I6" i="5" s="1"/>
  <c r="AD40" i="6" l="1"/>
  <c r="AG40" i="6"/>
  <c r="AF40" i="6"/>
  <c r="AE40" i="6"/>
  <c r="AD4" i="6"/>
  <c r="AE5" i="6" s="1"/>
  <c r="P10" i="5"/>
  <c r="L3" i="8" s="1"/>
  <c r="L6" i="8" s="1"/>
  <c r="Q7" i="5"/>
  <c r="E37" i="5"/>
  <c r="Q9" i="5" s="1"/>
  <c r="R3" i="5"/>
  <c r="R4" i="5" s="1"/>
  <c r="R6" i="5" s="1"/>
  <c r="Q8" i="5"/>
  <c r="B23" i="6"/>
  <c r="W10" i="5"/>
  <c r="S3" i="8" s="1"/>
  <c r="S6" i="8" s="1"/>
  <c r="X4" i="5"/>
  <c r="X6" i="5" s="1"/>
  <c r="X8" i="5"/>
  <c r="E46" i="5"/>
  <c r="X9" i="5" s="1"/>
  <c r="X7" i="5"/>
  <c r="Y3" i="5"/>
  <c r="I9" i="5"/>
  <c r="I10" i="5" s="1"/>
  <c r="N21" i="6"/>
  <c r="V21" i="6" s="1"/>
  <c r="F6" i="6"/>
  <c r="G3" i="6"/>
  <c r="O3" i="6" s="1"/>
  <c r="C23" i="6"/>
  <c r="N6" i="6"/>
  <c r="V3" i="6"/>
  <c r="E28" i="5"/>
  <c r="J4" i="5"/>
  <c r="J6" i="5" s="1"/>
  <c r="K3" i="5"/>
  <c r="J7" i="5"/>
  <c r="K8" i="5" l="1"/>
  <c r="K4" i="5"/>
  <c r="R8" i="5"/>
  <c r="AF5" i="6"/>
  <c r="AH5" i="6"/>
  <c r="AG5" i="6"/>
  <c r="AD5" i="6"/>
  <c r="Q10" i="5"/>
  <c r="M3" i="8" s="1"/>
  <c r="M6" i="8" s="1"/>
  <c r="R7" i="5"/>
  <c r="F37" i="5"/>
  <c r="R9" i="5" s="1"/>
  <c r="B24" i="6"/>
  <c r="X10" i="5"/>
  <c r="T3" i="8" s="1"/>
  <c r="T6" i="8" s="1"/>
  <c r="Y4" i="5"/>
  <c r="Y6" i="5" s="1"/>
  <c r="Y8" i="5"/>
  <c r="Y7" i="5"/>
  <c r="F46" i="5"/>
  <c r="Y9" i="5" s="1"/>
  <c r="J9" i="5"/>
  <c r="J10" i="5" s="1"/>
  <c r="N24" i="6"/>
  <c r="G6" i="6"/>
  <c r="C24" i="6" s="1"/>
  <c r="H3" i="6"/>
  <c r="H6" i="6" s="1"/>
  <c r="D24" i="6" s="1"/>
  <c r="D23" i="6"/>
  <c r="O21" i="6"/>
  <c r="O24" i="6" s="1"/>
  <c r="AD3" i="6"/>
  <c r="V6" i="6"/>
  <c r="W3" i="6"/>
  <c r="O6" i="6"/>
  <c r="V38" i="6"/>
  <c r="V41" i="6" s="1"/>
  <c r="V24" i="6"/>
  <c r="AD21" i="6"/>
  <c r="F28" i="5"/>
  <c r="K9" i="5" s="1"/>
  <c r="K6" i="5"/>
  <c r="K7" i="5"/>
  <c r="R10" i="5" l="1"/>
  <c r="N3" i="8" s="1"/>
  <c r="J10" i="8" s="1"/>
  <c r="J11" i="8" s="1"/>
  <c r="Y10" i="5"/>
  <c r="U3" i="8" s="1"/>
  <c r="U6" i="8" s="1"/>
  <c r="Q8" i="8" s="1"/>
  <c r="K10" i="5"/>
  <c r="F23" i="6" s="1"/>
  <c r="W21" i="6"/>
  <c r="W24" i="6" s="1"/>
  <c r="P3" i="6"/>
  <c r="P6" i="6" s="1"/>
  <c r="P21" i="6"/>
  <c r="P24" i="6" s="1"/>
  <c r="I3" i="6"/>
  <c r="I6" i="6" s="1"/>
  <c r="E24" i="6" s="1"/>
  <c r="E23" i="6"/>
  <c r="AL3" i="6"/>
  <c r="AD6" i="6"/>
  <c r="AD38" i="6"/>
  <c r="AD41" i="6" s="1"/>
  <c r="AL21" i="6"/>
  <c r="AD24" i="6"/>
  <c r="AE3" i="6"/>
  <c r="W6" i="6"/>
  <c r="N6" i="8" l="1"/>
  <c r="J8" i="8" s="1"/>
  <c r="Q10" i="8"/>
  <c r="Q11" i="8" s="1"/>
  <c r="Q12" i="8" s="1"/>
  <c r="X3" i="6"/>
  <c r="AF3" i="6" s="1"/>
  <c r="W38" i="6"/>
  <c r="W41" i="6" s="1"/>
  <c r="AE21" i="6"/>
  <c r="AE38" i="6" s="1"/>
  <c r="AE41" i="6" s="1"/>
  <c r="J12" i="8"/>
  <c r="X21" i="6"/>
  <c r="X24" i="6" s="1"/>
  <c r="Q21" i="6"/>
  <c r="Y21" i="6" s="1"/>
  <c r="Q3" i="6"/>
  <c r="Y3" i="6" s="1"/>
  <c r="J3" i="6"/>
  <c r="F11" i="6" s="1"/>
  <c r="F12" i="6" s="1"/>
  <c r="AT3" i="6"/>
  <c r="AT6" i="6" s="1"/>
  <c r="AL6" i="6"/>
  <c r="AL38" i="6"/>
  <c r="AL41" i="6" s="1"/>
  <c r="AT21" i="6"/>
  <c r="AL24" i="6"/>
  <c r="AM3" i="6"/>
  <c r="AE6" i="6"/>
  <c r="R21" i="6" l="1"/>
  <c r="Z21" i="6" s="1"/>
  <c r="X6" i="6"/>
  <c r="AE24" i="6"/>
  <c r="AM21" i="6"/>
  <c r="AM24" i="6" s="1"/>
  <c r="Q24" i="6"/>
  <c r="Q6" i="6"/>
  <c r="X38" i="6"/>
  <c r="X41" i="6" s="1"/>
  <c r="AF21" i="6"/>
  <c r="AN21" i="6" s="1"/>
  <c r="R3" i="6"/>
  <c r="J6" i="6"/>
  <c r="AG3" i="6"/>
  <c r="Y6" i="6"/>
  <c r="AM6" i="6"/>
  <c r="AU3" i="6"/>
  <c r="AU6" i="6" s="1"/>
  <c r="AN3" i="6"/>
  <c r="AF6" i="6"/>
  <c r="AG21" i="6"/>
  <c r="Y38" i="6"/>
  <c r="Y41" i="6" s="1"/>
  <c r="Y24" i="6"/>
  <c r="AT38" i="6"/>
  <c r="AT41" i="6" s="1"/>
  <c r="AT24" i="6"/>
  <c r="F9" i="6" l="1"/>
  <c r="F13" i="6" s="1"/>
  <c r="F15" i="6" s="1"/>
  <c r="F17" i="6" s="1"/>
  <c r="F24" i="6"/>
  <c r="R24" i="6"/>
  <c r="N26" i="6" s="1"/>
  <c r="N28" i="6"/>
  <c r="N29" i="6" s="1"/>
  <c r="N11" i="6"/>
  <c r="N12" i="6" s="1"/>
  <c r="AM38" i="6"/>
  <c r="AM41" i="6" s="1"/>
  <c r="AU21" i="6"/>
  <c r="AU24" i="6" s="1"/>
  <c r="AF24" i="6"/>
  <c r="AF38" i="6"/>
  <c r="AF41" i="6" s="1"/>
  <c r="Z3" i="6"/>
  <c r="V11" i="6" s="1"/>
  <c r="V12" i="6" s="1"/>
  <c r="R6" i="6"/>
  <c r="N9" i="6" s="1"/>
  <c r="AO21" i="6"/>
  <c r="AG38" i="6"/>
  <c r="AG41" i="6" s="1"/>
  <c r="AG24" i="6"/>
  <c r="AO3" i="6"/>
  <c r="AG6" i="6"/>
  <c r="AV21" i="6"/>
  <c r="AN38" i="6"/>
  <c r="AN41" i="6" s="1"/>
  <c r="AN24" i="6"/>
  <c r="AN6" i="6"/>
  <c r="AV3" i="6"/>
  <c r="AV6" i="6" s="1"/>
  <c r="AH21" i="6"/>
  <c r="V28" i="6"/>
  <c r="V29" i="6" s="1"/>
  <c r="Z38" i="6"/>
  <c r="Z24" i="6"/>
  <c r="V26" i="6" s="1"/>
  <c r="D6" i="8" l="1"/>
  <c r="J40" i="4"/>
  <c r="J41" i="4" s="1"/>
  <c r="J42" i="4" s="1"/>
  <c r="N30" i="6"/>
  <c r="N13" i="6"/>
  <c r="AU38" i="6"/>
  <c r="AU41" i="6" s="1"/>
  <c r="AH3" i="6"/>
  <c r="AH6" i="6" s="1"/>
  <c r="AD9" i="6" s="1"/>
  <c r="Z6" i="6"/>
  <c r="V9" i="6" s="1"/>
  <c r="V13" i="6" s="1"/>
  <c r="V30" i="6"/>
  <c r="AW3" i="6"/>
  <c r="AW6" i="6" s="1"/>
  <c r="AO6" i="6"/>
  <c r="AP21" i="6"/>
  <c r="AH38" i="6"/>
  <c r="AH24" i="6"/>
  <c r="AD26" i="6" s="1"/>
  <c r="AD28" i="6"/>
  <c r="AD29" i="6" s="1"/>
  <c r="AW21" i="6"/>
  <c r="AO38" i="6"/>
  <c r="AO41" i="6" s="1"/>
  <c r="AO24" i="6"/>
  <c r="V45" i="6"/>
  <c r="V46" i="6" s="1"/>
  <c r="Z41" i="6"/>
  <c r="V43" i="6" s="1"/>
  <c r="AV38" i="6"/>
  <c r="AV41" i="6" s="1"/>
  <c r="AV24" i="6"/>
  <c r="AD11" i="6" l="1"/>
  <c r="AD12" i="6" s="1"/>
  <c r="AD13" i="6" s="1"/>
  <c r="AP3" i="6"/>
  <c r="AX3" i="6" s="1"/>
  <c r="AD30" i="6"/>
  <c r="V47" i="6"/>
  <c r="AD45" i="6"/>
  <c r="AD46" i="6" s="1"/>
  <c r="AH41" i="6"/>
  <c r="AD43" i="6" s="1"/>
  <c r="AW38" i="6"/>
  <c r="AW41" i="6" s="1"/>
  <c r="AW24" i="6"/>
  <c r="AX21" i="6"/>
  <c r="AP38" i="6"/>
  <c r="AL28" i="6"/>
  <c r="AL29" i="6" s="1"/>
  <c r="AP24" i="6"/>
  <c r="AL26" i="6" s="1"/>
  <c r="AP6" i="6" l="1"/>
  <c r="AL9" i="6" s="1"/>
  <c r="AL11" i="6"/>
  <c r="AL12" i="6" s="1"/>
  <c r="AL30" i="6"/>
  <c r="AD47" i="6"/>
  <c r="AL45" i="6"/>
  <c r="AL46" i="6" s="1"/>
  <c r="AP41" i="6"/>
  <c r="AL43" i="6" s="1"/>
  <c r="AX38" i="6"/>
  <c r="AT28" i="6"/>
  <c r="AT29" i="6" s="1"/>
  <c r="AX24" i="6"/>
  <c r="AT26" i="6" s="1"/>
  <c r="AX6" i="6"/>
  <c r="AT9" i="6" s="1"/>
  <c r="AT11" i="6"/>
  <c r="AT12" i="6" s="1"/>
  <c r="AL13" i="6" l="1"/>
  <c r="AT30" i="6"/>
  <c r="AT13" i="6"/>
  <c r="AT45" i="6"/>
  <c r="AT46" i="6" s="1"/>
  <c r="AX41" i="6"/>
  <c r="AT43" i="6" s="1"/>
  <c r="AL47" i="6"/>
  <c r="AT47" i="6" l="1"/>
  <c r="J13" i="8" l="1"/>
  <c r="J14" i="8" s="1"/>
  <c r="J16" i="8" s="1"/>
  <c r="Q13" i="8"/>
  <c r="Q14" i="8" s="1"/>
  <c r="Q16" i="8" s="1"/>
  <c r="N31" i="6" l="1"/>
  <c r="N15" i="6"/>
  <c r="N17" i="6" s="1"/>
  <c r="C4" i="8" s="1"/>
  <c r="V14" i="6"/>
  <c r="B18" i="7"/>
  <c r="B19" i="7" s="1"/>
  <c r="AD14" i="6" l="1"/>
  <c r="V15" i="6"/>
  <c r="V17" i="6" s="1"/>
  <c r="C5" i="8" s="1"/>
  <c r="V31" i="6"/>
  <c r="N32" i="6"/>
  <c r="N34" i="6" s="1"/>
  <c r="D4" i="8" s="1"/>
  <c r="AD31" i="6" l="1"/>
  <c r="V32" i="6"/>
  <c r="V34" i="6" s="1"/>
  <c r="D5" i="8" s="1"/>
  <c r="V48" i="6"/>
  <c r="V49" i="6" s="1"/>
  <c r="V51" i="6" s="1"/>
  <c r="E5" i="8" s="1"/>
  <c r="AD15" i="6"/>
  <c r="AD17" i="6" s="1"/>
  <c r="C6" i="8" s="1"/>
  <c r="AL14" i="6"/>
  <c r="AD48" i="6" l="1"/>
  <c r="AD49" i="6" s="1"/>
  <c r="AD51" i="6" s="1"/>
  <c r="E6" i="8" s="1"/>
  <c r="AD32" i="6"/>
  <c r="AD34" i="6" s="1"/>
  <c r="D7" i="8" s="1"/>
  <c r="AL31" i="6"/>
  <c r="AT14" i="6"/>
  <c r="AT15" i="6" s="1"/>
  <c r="AT17" i="6" s="1"/>
  <c r="C8" i="8" s="1"/>
  <c r="AL15" i="6"/>
  <c r="AL17" i="6" s="1"/>
  <c r="C7" i="8" s="1"/>
  <c r="AL32" i="6" l="1"/>
  <c r="AL34" i="6" s="1"/>
  <c r="D8" i="8" s="1"/>
  <c r="AT31" i="6"/>
  <c r="AL48" i="6"/>
  <c r="AL49" i="6" s="1"/>
  <c r="AL51" i="6" s="1"/>
  <c r="E7" i="8" s="1"/>
  <c r="AT48" i="6" l="1"/>
  <c r="AT49" i="6" s="1"/>
  <c r="AT51" i="6" s="1"/>
  <c r="E8" i="8" s="1"/>
  <c r="AT32" i="6"/>
  <c r="AT34" i="6" s="1"/>
  <c r="E4" i="8" s="1"/>
</calcChain>
</file>

<file path=xl/sharedStrings.xml><?xml version="1.0" encoding="utf-8"?>
<sst xmlns="http://schemas.openxmlformats.org/spreadsheetml/2006/main" count="673" uniqueCount="343">
  <si>
    <t>Marge EBIT</t>
  </si>
  <si>
    <t>EBITDA</t>
  </si>
  <si>
    <t>EBIT</t>
  </si>
  <si>
    <t>Résultat net</t>
  </si>
  <si>
    <t>Résultat brut</t>
  </si>
  <si>
    <t>Marge brute (%)</t>
  </si>
  <si>
    <t>Résultat opérationnel</t>
  </si>
  <si>
    <t>Marge nette (%)</t>
  </si>
  <si>
    <t>Total actifs courants</t>
  </si>
  <si>
    <t>Trésorerie et équivalents de trésorerie</t>
  </si>
  <si>
    <t>Stocks</t>
  </si>
  <si>
    <t>Autres actifs courants</t>
  </si>
  <si>
    <t>Immobilisations incorporelles</t>
  </si>
  <si>
    <t>Autres passifs courants</t>
  </si>
  <si>
    <t>Autres passifs non courants</t>
  </si>
  <si>
    <t>Cession d’immobilisations corporelles</t>
  </si>
  <si>
    <t>Central</t>
  </si>
  <si>
    <t>Optimiste</t>
  </si>
  <si>
    <t>BFR / CA</t>
  </si>
  <si>
    <t>Hypothèse</t>
  </si>
  <si>
    <t>CAPEX / CA</t>
  </si>
  <si>
    <t>BFR</t>
  </si>
  <si>
    <t>Résultat net (M€)</t>
  </si>
  <si>
    <t>Compte de résultat</t>
  </si>
  <si>
    <t>Bilan</t>
  </si>
  <si>
    <t>Tableau des Flux de trésorerie</t>
  </si>
  <si>
    <t>Chiffre d’affaires (M€)</t>
  </si>
  <si>
    <t>Croissance (%)</t>
  </si>
  <si>
    <t>EBIT (M€)</t>
  </si>
  <si>
    <t>Marge EBIT (%)</t>
  </si>
  <si>
    <t>Créances</t>
  </si>
  <si>
    <t>Fournisseurs</t>
  </si>
  <si>
    <t>BFR / CA (%)</t>
  </si>
  <si>
    <t>Flux de trésorerie opérationnel</t>
  </si>
  <si>
    <t>Taux d’impôt</t>
  </si>
  <si>
    <t>D&amp;A / CA</t>
  </si>
  <si>
    <t>Croissance du CA</t>
  </si>
  <si>
    <t>Chiffre d’affaires</t>
  </si>
  <si>
    <t>NOPAT</t>
  </si>
  <si>
    <t>FCFF</t>
  </si>
  <si>
    <t>Part des minoritaires dans le résultat</t>
  </si>
  <si>
    <t>Élimination du résultat net des entreprises associées</t>
  </si>
  <si>
    <t>Élimination des amortissements et provisions</t>
  </si>
  <si>
    <t>Élimination des résultats de cessions d’actifs</t>
  </si>
  <si>
    <t>Autres produits et charges sans incidence sur la trésorerie</t>
  </si>
  <si>
    <t>Marge brute d’autofinancement</t>
  </si>
  <si>
    <t>Dividendes reçus des entreprises associées</t>
  </si>
  <si>
    <t>Variation du besoin en fonds de roulement</t>
  </si>
  <si>
    <t>Flux de trésorerie liés aux activités opérationnelles</t>
  </si>
  <si>
    <t>Acquisition d’immobilisations incorporelles</t>
  </si>
  <si>
    <t>Acquisition d’immobilisations corporelles</t>
  </si>
  <si>
    <t>Autres opérations d’investissement</t>
  </si>
  <si>
    <t>Flux de trésorerie liés aux activités d’investissement</t>
  </si>
  <si>
    <t>Émission d’emprunts</t>
  </si>
  <si>
    <t>Remboursement d’emprunts</t>
  </si>
  <si>
    <t>Variations d’autres dettes auprès d’établissements de crédit</t>
  </si>
  <si>
    <t>Intérêts versés</t>
  </si>
  <si>
    <t>Intérêts encaissés</t>
  </si>
  <si>
    <t>Dividendes payés aux actionnaires du groupe</t>
  </si>
  <si>
    <t>Dividendes payés aux minoritaires</t>
  </si>
  <si>
    <t>Rachat d’intérêts ne donnant pas le contrôle</t>
  </si>
  <si>
    <t>Flux de trésorerie liés aux activités de financement</t>
  </si>
  <si>
    <t>Incidence de la variation des taux de change</t>
  </si>
  <si>
    <t>Variation de la trésorerie</t>
  </si>
  <si>
    <t>Trésorerie d’ouverture</t>
  </si>
  <si>
    <t>Trésorerie de clôture</t>
  </si>
  <si>
    <t>Participations dans les entreprises associées</t>
  </si>
  <si>
    <t>Autres actifs financiers</t>
  </si>
  <si>
    <t>Actifs d’impôts différés</t>
  </si>
  <si>
    <t>Autres actifs non courants</t>
  </si>
  <si>
    <t>Total actifs non courants</t>
  </si>
  <si>
    <t>Stocks et en-cours</t>
  </si>
  <si>
    <t>Clients et autres débiteurs</t>
  </si>
  <si>
    <t>Créances d’impôt</t>
  </si>
  <si>
    <t>Actifs non courants destinés à être cédés</t>
  </si>
  <si>
    <t>Capital et primes</t>
  </si>
  <si>
    <t>Réserves et résultats consolidés</t>
  </si>
  <si>
    <t>Intérêts ne donnant pas le contrôle</t>
  </si>
  <si>
    <t>Capitaux propres de l’ensemble consolidé</t>
  </si>
  <si>
    <t>Passifs d’impôts différés</t>
  </si>
  <si>
    <t>Total passifs non courants</t>
  </si>
  <si>
    <t>Provisions courantes</t>
  </si>
  <si>
    <t>Fournisseurs et autres créditeurs</t>
  </si>
  <si>
    <t>Dettes d’impôt</t>
  </si>
  <si>
    <t>Total passifs courants</t>
  </si>
  <si>
    <t>en millions d'euros</t>
  </si>
  <si>
    <t>Actif</t>
  </si>
  <si>
    <t>Passif</t>
  </si>
  <si>
    <t>Charge d’impôt</t>
  </si>
  <si>
    <t>Autres produits de l’activité</t>
  </si>
  <si>
    <t>Variation des stocks de produits finis et d’encours</t>
  </si>
  <si>
    <t>Achats consommés</t>
  </si>
  <si>
    <t>Charges de personnel</t>
  </si>
  <si>
    <t>Charges externes</t>
  </si>
  <si>
    <t>Impôts et taxes</t>
  </si>
  <si>
    <t>Amortissements et dépréciations</t>
  </si>
  <si>
    <t>Résultat opérationnel courant</t>
  </si>
  <si>
    <t>Coût de l’endettement financier net</t>
  </si>
  <si>
    <t>Autres produits et charges financiers</t>
  </si>
  <si>
    <t>Résultat financier</t>
  </si>
  <si>
    <t>Quote-part du résultat net des entreprises associées</t>
  </si>
  <si>
    <t>Chiffre d’affaires(M€)</t>
  </si>
  <si>
    <t>Résultat brut(M€)</t>
  </si>
  <si>
    <t>Cout des Ventes(M€)</t>
  </si>
  <si>
    <t>Résultat opérationnel courant(M€)</t>
  </si>
  <si>
    <t>Charges opérationnelles totales(M€)</t>
  </si>
  <si>
    <t>Capitaux propres (M€)</t>
  </si>
  <si>
    <t>Trésorerie (M€)</t>
  </si>
  <si>
    <t>CFO / Résultat net(x)</t>
  </si>
  <si>
    <t>Taux d’impôt normatif</t>
  </si>
  <si>
    <t>Résultat opérationnel (EBIT)</t>
  </si>
  <si>
    <t xml:space="preserve"> Variation du BFR</t>
  </si>
  <si>
    <t>Valeur</t>
  </si>
  <si>
    <t>Taux sans risque</t>
  </si>
  <si>
    <t>Bêta</t>
  </si>
  <si>
    <t>Prime de risque marché</t>
  </si>
  <si>
    <t>Coût des fonds propres</t>
  </si>
  <si>
    <t>Coût de la dette pré-impôt</t>
  </si>
  <si>
    <t>Coût de la dette après impôt</t>
  </si>
  <si>
    <t>Poids des fonds propres</t>
  </si>
  <si>
    <t>Poids de la dette</t>
  </si>
  <si>
    <t>WACC</t>
  </si>
  <si>
    <t>Croissance terminale g</t>
  </si>
  <si>
    <t>Nombre d’actions</t>
  </si>
  <si>
    <t>Péssimiste</t>
  </si>
  <si>
    <t>Facteur d’actualisation</t>
  </si>
  <si>
    <t>FCFF actualisé</t>
  </si>
  <si>
    <t>Année</t>
  </si>
  <si>
    <t>Somme FCFF actualisés</t>
  </si>
  <si>
    <t>Valeur terminale</t>
  </si>
  <si>
    <t>Valeur terminale actualisée</t>
  </si>
  <si>
    <t>Enterprise Value</t>
  </si>
  <si>
    <t>Dette nette</t>
  </si>
  <si>
    <t>Equity Value</t>
  </si>
  <si>
    <t>Valeur par action</t>
  </si>
  <si>
    <t>Thor Industries</t>
  </si>
  <si>
    <t>LCI Industries</t>
  </si>
  <si>
    <t>Multiple médian</t>
  </si>
  <si>
    <t>Valeur obtenue</t>
  </si>
  <si>
    <t>Dette nette Trigano</t>
  </si>
  <si>
    <t>Trigano</t>
  </si>
  <si>
    <t>Prévision Central</t>
  </si>
  <si>
    <t>Prévision Pessimiste</t>
  </si>
  <si>
    <t>Prévision Optimiste</t>
  </si>
  <si>
    <t>g</t>
  </si>
  <si>
    <t>Risque ESG identifié</t>
  </si>
  <si>
    <t>Impact financier potentiel</t>
  </si>
  <si>
    <t>Effet sur la valorisation</t>
  </si>
  <si>
    <t>Dépendance aux véhicules thermiques</t>
  </si>
  <si>
    <t>CAPEX plus élevés, FCFF plus faibles</t>
  </si>
  <si>
    <t>CAPEX</t>
  </si>
  <si>
    <t>Société</t>
  </si>
  <si>
    <t>Winnebago</t>
  </si>
  <si>
    <t>Knaus Tabbert</t>
  </si>
  <si>
    <t>EV/EBITDA FY1</t>
  </si>
  <si>
    <t>EV/Sales FY1</t>
  </si>
  <si>
    <t>Pays</t>
  </si>
  <si>
    <t>Market Cap(Mds €)</t>
  </si>
  <si>
    <t>France</t>
  </si>
  <si>
    <t>États-Unis</t>
  </si>
  <si>
    <t>Allemagne</t>
  </si>
  <si>
    <t>Activité</t>
  </si>
  <si>
    <t>Fabricant de véhicules de loisirs et équipements</t>
  </si>
  <si>
    <t>Fabricant de camping-cars, caravanes et vans aménagés</t>
  </si>
  <si>
    <t>Fabricant de camping-cars et véhicules de loisirs</t>
  </si>
  <si>
    <t>Fabricant de véhicules de loisirs</t>
  </si>
  <si>
    <t>Fournisseur d’équipements pour véhicules de loisirs</t>
  </si>
  <si>
    <t>CA 2026</t>
  </si>
  <si>
    <t>EBITDA 2026</t>
  </si>
  <si>
    <t>Valeur de l’agrégat</t>
  </si>
  <si>
    <t>Credit Spread</t>
  </si>
  <si>
    <t>Valeur des fonds propres</t>
  </si>
  <si>
    <t>Coût des ventes / CA (%)</t>
  </si>
  <si>
    <t>Autres produits / charges opérationnels</t>
  </si>
  <si>
    <t>Résultat net part du groupe</t>
  </si>
  <si>
    <t>Résultat par action (€)</t>
  </si>
  <si>
    <t>Écarts d’acquisition</t>
  </si>
  <si>
    <t>Immobilisations corporelles + droits d’usage</t>
  </si>
  <si>
    <t>—</t>
  </si>
  <si>
    <t>Total Actif</t>
  </si>
  <si>
    <t>Capitaux propres, part du groupe</t>
  </si>
  <si>
    <t>Passifs financiers non courants + dettes de location</t>
  </si>
  <si>
    <t>Provisions non courantes / long terme</t>
  </si>
  <si>
    <t>Passifs financiers courants + dettes de location</t>
  </si>
  <si>
    <t>Total Passif</t>
  </si>
  <si>
    <t>Élimination des charges / produits d’intérêt nets</t>
  </si>
  <si>
    <t>Impôts encaissés / payés</t>
  </si>
  <si>
    <t>Acquisition de filiales nette de trésorerie</t>
  </si>
  <si>
    <t>Cession / acquisition nette d’actions propres</t>
  </si>
  <si>
    <t>Coût des ventes estimé</t>
  </si>
  <si>
    <t>Marge brute</t>
  </si>
  <si>
    <t>Marge nette</t>
  </si>
  <si>
    <t>Dette financière avec location (M€)</t>
  </si>
  <si>
    <t>EBITDA (M€)</t>
  </si>
  <si>
    <t>Remboursement de dettes de location IFRS 16</t>
  </si>
  <si>
    <t>Variation de trésorerie</t>
  </si>
  <si>
    <t>Trésorerie et équivalents de trésorerie à l’ouverture</t>
  </si>
  <si>
    <t>Concours bancaires courants à l’ouverture</t>
  </si>
  <si>
    <t>Trésorerie et équivalents de trésorerie à la clôture</t>
  </si>
  <si>
    <t>Concours bancaires courants à la clôture</t>
  </si>
  <si>
    <t>Élimination de la charge / produit d’impôt</t>
  </si>
  <si>
    <t>Concours bancaires courants</t>
  </si>
  <si>
    <t>Valeur de la dette brute</t>
  </si>
  <si>
    <t>Pessimiste</t>
  </si>
  <si>
    <t>-3,0 % à +1,5 %</t>
  </si>
  <si>
    <t>1,0 % à 4,5 %</t>
  </si>
  <si>
    <t>2,0 % à 6,0 %</t>
  </si>
  <si>
    <t>8,0 % à 8,7 %</t>
  </si>
  <si>
    <t>9,4 % à 10,3 %</t>
  </si>
  <si>
    <t>9,8 % à 10,8 %</t>
  </si>
  <si>
    <t>1,85 % à 1,90 %</t>
  </si>
  <si>
    <t>1,90 % à 2,20 %</t>
  </si>
  <si>
    <t>2,00 % à 2,30 %</t>
  </si>
  <si>
    <t>20,5 % à 22,0 %</t>
  </si>
  <si>
    <t>19,5 % à 20,5 %</t>
  </si>
  <si>
    <t>19,0 % à 19,8 %</t>
  </si>
  <si>
    <t>Valeur d’entreprise</t>
  </si>
  <si>
    <t>Cours de marché retenu</t>
  </si>
  <si>
    <t>Date d’observation</t>
  </si>
  <si>
    <t>Valeur DCF</t>
  </si>
  <si>
    <t>Valeur de référence retenue</t>
  </si>
  <si>
    <t>Potentiel d’appréciation estimé</t>
  </si>
  <si>
    <t>Fermeture du 19-05-2026</t>
  </si>
  <si>
    <t>Scénario</t>
  </si>
  <si>
    <t>Risque de baisse de l’attractivité des camping-cars et vans thermiques si les normes environnementales, les restrictions de circulation ou le coût d’usage augmentent</t>
  </si>
  <si>
    <t>Croissance du chiffre d’affaires plus faible à moyen/long terme</t>
  </si>
  <si>
    <t>Scope 3 très élevé, principalement lié à l’utilisation des véhicules</t>
  </si>
  <si>
    <t>Exposition indirecte importante aux émissions générées par les clients, alors que Trigano contrôle peu cette partie de la chaîne de valeur</t>
  </si>
  <si>
    <t>Prime de risque plus élevée, WACC potentiellement plus élevé</t>
  </si>
  <si>
    <t>Dépendance aux constructeurs de châssis pour la transition bas-carbone</t>
  </si>
  <si>
    <t>Si les fournisseurs automobiles ne proposent pas assez vite des châssis électriques/hybrides performants, Trigano pourrait avoir du retard dans son offre</t>
  </si>
  <si>
    <t>Perte de compétitivité, baisse des ventes futures, marge EBIT plus faible</t>
  </si>
  <si>
    <t>Coût d’usage des véhicules diesel et fiscalité carbone</t>
  </si>
  <si>
    <t>Hausse possible du coût d’utilisation des camping-cars thermiques avec le prix du carburant, la fiscalité carbone ou les systèmes de quotas carbone</t>
  </si>
  <si>
    <t>Demande plus faible, croissance plus prudente dans les scénarios</t>
  </si>
  <si>
    <t>Besoin d’investissements dans des véhicules plus sobres</t>
  </si>
  <si>
    <t>Investissements supplémentaires en R&amp;D, adaptation industrielle, partenariats technologiques ou nouveaux matériaux</t>
  </si>
  <si>
    <t>CAGR 2021-2024</t>
  </si>
  <si>
    <t>Croissance 2021-2024</t>
  </si>
  <si>
    <t>Marge EBITDA (%)</t>
  </si>
  <si>
    <t>Médiane hors Trigano</t>
  </si>
  <si>
    <t>Dette financière nette / EBITDA (x)</t>
  </si>
  <si>
    <t>Critère</t>
  </si>
  <si>
    <t>Données</t>
  </si>
  <si>
    <t>Nombre de points</t>
  </si>
  <si>
    <t>1. Comportement du cours de l’action</t>
  </si>
  <si>
    <t>1.1 Mouvements erratiques du cours de l’action</t>
  </si>
  <si>
    <t>1.2 Écart du cours de l’action par rapport à sa tendance</t>
  </si>
  <si>
    <t>Écart-type par rapport à la moyenne mobile 200 jours</t>
  </si>
  <si>
    <t>2. Qualité de la structure actionnariale</t>
  </si>
  <si>
    <t>2.1 Détention par de grands investisseurs institutionnels</t>
  </si>
  <si>
    <t>Proportion de grands investisseurs institutionnels (% du flottant)</t>
  </si>
  <si>
    <t>2.2 Fidélité des actionnaires</t>
  </si>
  <si>
    <t>Proportion de fonds vendant leurs actions chaque trimestre</t>
  </si>
  <si>
    <t>3. Gouvernance et attention portée à la création de valeur actionnariale</t>
  </si>
  <si>
    <t>3.1 Actionnaire de référence</t>
  </si>
  <si>
    <t>Type d’actionnaire de référence</t>
  </si>
  <si>
    <t>3.2 Structure du conseil d’administration</t>
  </si>
  <si>
    <t>Membres du conseil étant des actionnaires importants</t>
  </si>
  <si>
    <t>Séparation des rôles de CEO et de président du conseil</t>
  </si>
  <si>
    <t>Pourcentage d’administrateurs indépendants</t>
  </si>
  <si>
    <t>3.3 Focus du CEO</t>
  </si>
  <si>
    <t>Détention d’actions exprimée en nombre d’années de salaire</t>
  </si>
  <si>
    <t>3.4 Intensité des relations investisseurs</t>
  </si>
  <si>
    <t>Nombre de jours par an consacrés par le CEO aux investisseurs</t>
  </si>
  <si>
    <t>Nombre de jours par an consacrés par le CFO aux investisseurs</t>
  </si>
  <si>
    <t>Nombre d’analystes couvrant l’entreprise</t>
  </si>
  <si>
    <t>4. Focus social et environnemental</t>
  </si>
  <si>
    <t>4.1 Priorité et reporting de l’impact social</t>
  </si>
  <si>
    <t>Priorisation formelle de l’impact social</t>
  </si>
  <si>
    <t>Reporting des indicateurs de performance sociale</t>
  </si>
  <si>
    <t>4.2 Impact des opérations et des produits sur les personnes</t>
  </si>
  <si>
    <t>Impact des opérations sur les personnes</t>
  </si>
  <si>
    <t>Impact des produits/services sur les clients</t>
  </si>
  <si>
    <t>4.3 Priorité et reporting de l’impact environnemental</t>
  </si>
  <si>
    <t>Priorisation formelle de l’impact environnemental</t>
  </si>
  <si>
    <t>Reporting des indicateurs de performance environnementale</t>
  </si>
  <si>
    <t>4.4 Impact des opérations et des produits sur l’environnement</t>
  </si>
  <si>
    <t>Impact des opérations sur l’environnement</t>
  </si>
  <si>
    <t>Impact des produits/services sur l’environnement</t>
  </si>
  <si>
    <t>5. Communication et cohérence</t>
  </si>
  <si>
    <t>5.1 Qualité de la communication</t>
  </si>
  <si>
    <t>Communication sur le modèle économique</t>
  </si>
  <si>
    <t>Communication sur la stratégie</t>
  </si>
  <si>
    <t>Communication sur l’allocation du capital</t>
  </si>
  <si>
    <t>Communication sur les résultats et la performance</t>
  </si>
  <si>
    <t>Cohérence de la communication</t>
  </si>
  <si>
    <t>5.2 Cohérence</t>
  </si>
  <si>
    <t>Cohérence stratégique</t>
  </si>
  <si>
    <t>Cohérence du reporting</t>
  </si>
  <si>
    <t>Cohérence comptable</t>
  </si>
  <si>
    <t>5.3 Guidance</t>
  </si>
  <si>
    <t>Atteinte de la guidance</t>
  </si>
  <si>
    <t>6. Conclusion</t>
  </si>
  <si>
    <t>Probabilité de mouvements erratiques (&gt; 3,5 % par rapport à SBF120)</t>
  </si>
  <si>
    <t>26/764=3,4%</t>
  </si>
  <si>
    <t>Investing.com/Yahoo Finance le 24/05/26</t>
  </si>
  <si>
    <t>6,25/41,9= 14,92%</t>
  </si>
  <si>
    <t>Famille</t>
  </si>
  <si>
    <t>Zonebourse</t>
  </si>
  <si>
    <t>François Feuillet, Alice Cavalier Feuillet et Marie-Hélène Feuillet</t>
  </si>
  <si>
    <t>Non</t>
  </si>
  <si>
    <t>/</t>
  </si>
  <si>
    <t>Rapport annuel 2025</t>
  </si>
  <si>
    <t>Social/RSE intégré</t>
  </si>
  <si>
    <t>Reporting CSRD annuel</t>
  </si>
  <si>
    <t>11 000 collaborateurs</t>
  </si>
  <si>
    <t>Loisirs/bien-être, impact limité</t>
  </si>
  <si>
    <t>Environnement intégré à la RSE</t>
  </si>
  <si>
    <t>Reporting CSRD détaillé</t>
  </si>
  <si>
    <t>Impact direct limité mais industriel</t>
  </si>
  <si>
    <t>Produits encore thermiques</t>
  </si>
  <si>
    <t>Activités bien expliquées</t>
  </si>
  <si>
    <t>Stratégie claire, objectifs limités</t>
  </si>
  <si>
    <t>Acquisitions/dividendes expliqués</t>
  </si>
  <si>
    <t>Reporting financier détaillé</t>
  </si>
  <si>
    <t>Discours globalement cohérent</t>
  </si>
  <si>
    <t>Croissance externe cohérente</t>
  </si>
  <si>
    <t>Pas de changement majeur identifié</t>
  </si>
  <si>
    <t>Pas de guidance chiffrée formelle</t>
  </si>
  <si>
    <t>14/20</t>
  </si>
  <si>
    <t>Score converti sur 100</t>
  </si>
  <si>
    <t>55/100</t>
  </si>
  <si>
    <t>structure dualiste avec Directoire et Conseil de surveillance</t>
  </si>
  <si>
    <t>FCFF utilisés</t>
  </si>
  <si>
    <t>Croissance terminale</t>
  </si>
  <si>
    <t>FCFF pessimistes</t>
  </si>
  <si>
    <t>FCFF centraux</t>
  </si>
  <si>
    <t>FCFF optimistes</t>
  </si>
  <si>
    <t>5/10</t>
  </si>
  <si>
    <t>Sensibilité selon le scénario des FCFF pessimiste</t>
  </si>
  <si>
    <t>Sensibilité selon le scénario des FCFF optimiste</t>
  </si>
  <si>
    <t xml:space="preserve"> Évolution du chiffre d’affaires, de l’EBIT et du résultat net de Trigano entre
2021 et 2025</t>
  </si>
  <si>
    <t xml:space="preserve"> Structure des coûts et évolution de la marge brute de Trigano entre 2021 et
2025</t>
  </si>
  <si>
    <t>Évolution de l’EBITDA, de l’EBIT et des marges opérationnelles de Trigano entre 2021 et 2025</t>
  </si>
  <si>
    <t>Évolution du besoin en fonds de roulement de Trigano entre 2021 et 2025</t>
  </si>
  <si>
    <t>Structure financière et position de trésorerie nette de Trigano entre 2021 et 2025</t>
  </si>
  <si>
    <t>Conversion du résultat net en flux de trésorerie opérationnel entre 2021 et 2025</t>
  </si>
  <si>
    <t>Test de sensibilité</t>
  </si>
  <si>
    <t xml:space="preserve"> Calcul historique du free cash-flow to the firm de Trigano entre 2021 et 2025</t>
  </si>
  <si>
    <t>Multiples de valorisation des sociétés comparables</t>
  </si>
  <si>
    <t>Valeur par action selon les scénarios pessimiste, central et optimiste</t>
  </si>
  <si>
    <t>Analyse de sensibilité de la valeur par action au WACC et au taux de croissance terminale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</si>
</sst>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b/>
      <i/>
      <sz val="11"/>
      <color theme="3" tint="0.249977111117893"/>
      <name val="Aptos Narrow"/>
      <family val="2"/>
      <scheme val="minor"/>
    </font>
    <font>
      <i/>
      <sz val="11"/>
      <color theme="3" tint="0.249977111117893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sz val="13.5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0" fontId="0" fillId="0" borderId="0" xfId="1" applyNumberFormat="1" applyFont="1"/>
    <xf numFmtId="0" fontId="1" fillId="0" borderId="0" xfId="0" applyFont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10" fontId="5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0" fillId="0" borderId="0" xfId="1" applyNumberFormat="1" applyFont="1"/>
    <xf numFmtId="0" fontId="2" fillId="3" borderId="0" xfId="0" applyFont="1" applyFill="1"/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10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2" fontId="8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9" fontId="0" fillId="0" borderId="0" xfId="1" applyFont="1"/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4" fontId="0" fillId="0" borderId="0" xfId="0" applyNumberFormat="1" applyAlignment="1">
      <alignment horizontal="right" vertical="center" wrapText="1"/>
    </xf>
    <xf numFmtId="10" fontId="0" fillId="0" borderId="0" xfId="0" applyNumberFormat="1" applyAlignment="1">
      <alignment horizontal="right" vertical="center" wrapText="1"/>
    </xf>
    <xf numFmtId="2" fontId="0" fillId="0" borderId="0" xfId="0" applyNumberFormat="1"/>
    <xf numFmtId="10" fontId="0" fillId="0" borderId="0" xfId="0" applyNumberForma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10" fontId="10" fillId="0" borderId="0" xfId="0" applyNumberFormat="1" applyFont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0" fontId="0" fillId="3" borderId="0" xfId="0" applyFill="1"/>
    <xf numFmtId="0" fontId="0" fillId="3" borderId="0" xfId="0" applyFill="1" applyAlignment="1">
      <alignment vertical="center" wrapText="1"/>
    </xf>
    <xf numFmtId="14" fontId="0" fillId="0" borderId="0" xfId="0" applyNumberFormat="1"/>
    <xf numFmtId="10" fontId="11" fillId="0" borderId="0" xfId="0" applyNumberFormat="1" applyFont="1"/>
    <xf numFmtId="10" fontId="1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12" fillId="0" borderId="0" xfId="0" applyNumberFormat="1" applyFont="1"/>
    <xf numFmtId="10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4" fontId="9" fillId="0" borderId="0" xfId="0" applyNumberFormat="1" applyFont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indent="1"/>
    </xf>
    <xf numFmtId="43" fontId="1" fillId="0" borderId="0" xfId="0" applyNumberFormat="1" applyFont="1"/>
    <xf numFmtId="10" fontId="1" fillId="0" borderId="0" xfId="1" applyNumberFormat="1" applyFont="1" applyAlignment="1">
      <alignment horizontal="right" vertical="center" wrapText="1"/>
    </xf>
    <xf numFmtId="43" fontId="0" fillId="0" borderId="0" xfId="2" applyFont="1"/>
    <xf numFmtId="0" fontId="14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/>
    </xf>
    <xf numFmtId="4" fontId="1" fillId="0" borderId="1" xfId="0" applyNumberFormat="1" applyFont="1" applyBorder="1" applyAlignment="1">
      <alignment vertical="center" wrapText="1"/>
    </xf>
    <xf numFmtId="4" fontId="0" fillId="0" borderId="2" xfId="0" applyNumberFormat="1" applyBorder="1" applyAlignment="1">
      <alignment horizontal="right" vertical="center"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right" vertical="center"/>
    </xf>
    <xf numFmtId="10" fontId="0" fillId="0" borderId="0" xfId="1" applyNumberFormat="1" applyFont="1" applyAlignment="1">
      <alignment horizontal="right" vertical="center"/>
    </xf>
    <xf numFmtId="10" fontId="5" fillId="0" borderId="0" xfId="1" applyNumberFormat="1" applyFont="1" applyAlignment="1">
      <alignment horizontal="right" vertical="center"/>
    </xf>
    <xf numFmtId="10" fontId="5" fillId="0" borderId="0" xfId="1" applyNumberFormat="1" applyFont="1" applyAlignment="1">
      <alignment horizontal="right" vertical="center" wrapText="1"/>
    </xf>
    <xf numFmtId="10" fontId="5" fillId="0" borderId="0" xfId="2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4" fontId="13" fillId="0" borderId="0" xfId="0" applyNumberFormat="1" applyFont="1" applyAlignment="1">
      <alignment vertical="center"/>
    </xf>
    <xf numFmtId="2" fontId="7" fillId="0" borderId="0" xfId="0" applyNumberFormat="1" applyFont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10" fontId="0" fillId="0" borderId="0" xfId="1" applyNumberFormat="1" applyFont="1" applyAlignment="1">
      <alignment horizontal="right" vertical="center" wrapText="1"/>
    </xf>
    <xf numFmtId="44" fontId="0" fillId="0" borderId="0" xfId="3" applyFont="1" applyAlignment="1">
      <alignment horizontal="right" vertical="center" wrapText="1"/>
    </xf>
    <xf numFmtId="10" fontId="13" fillId="0" borderId="0" xfId="0" applyNumberFormat="1" applyFont="1" applyAlignment="1">
      <alignment vertical="center"/>
    </xf>
    <xf numFmtId="4" fontId="12" fillId="0" borderId="0" xfId="0" applyNumberFormat="1" applyFont="1" applyAlignment="1">
      <alignment horizontal="right" vertical="center" wrapText="1"/>
    </xf>
    <xf numFmtId="8" fontId="15" fillId="0" borderId="0" xfId="0" applyNumberFormat="1" applyFont="1" applyAlignment="1">
      <alignment horizontal="right" vertical="center" wrapText="1"/>
    </xf>
    <xf numFmtId="10" fontId="12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43" fontId="1" fillId="0" borderId="0" xfId="2" applyFont="1" applyAlignment="1">
      <alignment horizontal="center" vertical="center" wrapText="1"/>
    </xf>
    <xf numFmtId="43" fontId="1" fillId="0" borderId="0" xfId="2" applyFont="1" applyAlignment="1">
      <alignment horizontal="right" vertical="center" wrapText="1"/>
    </xf>
    <xf numFmtId="43" fontId="4" fillId="0" borderId="0" xfId="2" applyFont="1" applyAlignment="1">
      <alignment horizontal="right" vertical="center" wrapText="1"/>
    </xf>
    <xf numFmtId="13" fontId="4" fillId="0" borderId="0" xfId="2" applyNumberFormat="1" applyFont="1" applyAlignment="1">
      <alignment horizontal="right" vertical="center" wrapText="1"/>
    </xf>
    <xf numFmtId="43" fontId="0" fillId="0" borderId="0" xfId="2" applyFont="1" applyAlignment="1">
      <alignment horizontal="right" vertical="center" wrapText="1"/>
    </xf>
    <xf numFmtId="0" fontId="0" fillId="0" borderId="0" xfId="2" applyNumberFormat="1" applyFont="1" applyAlignment="1">
      <alignment horizontal="right" vertical="center" wrapText="1"/>
    </xf>
    <xf numFmtId="10" fontId="0" fillId="0" borderId="0" xfId="0" applyNumberForma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3" fontId="0" fillId="0" borderId="0" xfId="2" applyNumberFormat="1" applyFont="1"/>
    <xf numFmtId="2" fontId="0" fillId="0" borderId="0" xfId="2" quotePrefix="1" applyNumberFormat="1" applyFont="1" applyAlignment="1">
      <alignment horizontal="right" vertic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right" vertical="center" wrapText="1"/>
    </xf>
    <xf numFmtId="0" fontId="0" fillId="4" borderId="0" xfId="0" applyFill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">
    <cellStyle name="Milliers" xfId="2" builtinId="3"/>
    <cellStyle name="Monétaire" xfId="3" builtinId="4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/>
              <a:t>Evolution</a:t>
            </a:r>
            <a:r>
              <a:rPr lang="fr-BE" baseline="0"/>
              <a:t> de l'EBITDA et de l'EBIT</a:t>
            </a:r>
            <a:endParaRPr lang="fr-B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B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'Tableaux de synthèse'!$B$14</c:f>
              <c:strCache>
                <c:ptCount val="1"/>
                <c:pt idx="0">
                  <c:v>EBITDA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'Tableaux de synthèse'!$A$15:$A$19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'Tableaux de synthèse'!$B$15:$B$19</c:f>
              <c:numCache>
                <c:formatCode>#,##0.00</c:formatCode>
                <c:ptCount val="5"/>
                <c:pt idx="0">
                  <c:v>396.9</c:v>
                </c:pt>
                <c:pt idx="1">
                  <c:v>404.7</c:v>
                </c:pt>
                <c:pt idx="2">
                  <c:v>479.59999999999997</c:v>
                </c:pt>
                <c:pt idx="3">
                  <c:v>580.70000000000005</c:v>
                </c:pt>
                <c:pt idx="4">
                  <c:v>411.4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0E-4A03-9279-FBD7007DDB55}"/>
            </c:ext>
          </c:extLst>
        </c:ser>
        <c:ser>
          <c:idx val="1"/>
          <c:order val="1"/>
          <c:tx>
            <c:strRef>
              <c:f>'Tableaux de synthèse'!$C$14</c:f>
              <c:strCache>
                <c:ptCount val="1"/>
                <c:pt idx="0">
                  <c:v>EBIT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'Tableaux de synthèse'!$A$15:$A$19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'Tableaux de synthèse'!$C$15:$C$19</c:f>
              <c:numCache>
                <c:formatCode>#,##0.00</c:formatCode>
                <c:ptCount val="5"/>
                <c:pt idx="0">
                  <c:v>358</c:v>
                </c:pt>
                <c:pt idx="1">
                  <c:v>341.2</c:v>
                </c:pt>
                <c:pt idx="2">
                  <c:v>422.7</c:v>
                </c:pt>
                <c:pt idx="3">
                  <c:v>499</c:v>
                </c:pt>
                <c:pt idx="4">
                  <c:v>334.3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0E-4A03-9279-FBD7007DDB5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45194719"/>
        <c:axId val="345210559"/>
      </c:lineChart>
      <c:catAx>
        <c:axId val="345194719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5210559"/>
        <c:crosses val="autoZero"/>
        <c:auto val="1"/>
        <c:lblAlgn val="ctr"/>
        <c:lblOffset val="100"/>
        <c:noMultiLvlLbl val="0"/>
      </c:catAx>
      <c:valAx>
        <c:axId val="345210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BE"/>
                  <a:t>en millions</a:t>
                </a:r>
                <a:r>
                  <a:rPr lang="fr-BE" baseline="0"/>
                  <a:t> d'euros</a:t>
                </a:r>
                <a:endParaRPr lang="fr-B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BE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5194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166100</xdr:rowOff>
    </xdr:from>
    <xdr:to>
      <xdr:col>4</xdr:col>
      <xdr:colOff>740833</xdr:colOff>
      <xdr:row>35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E635503D-F21A-1210-A4E2-F45EBE712F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EAED-F8D2-4D0D-BA35-E7A40BA8AAC9}">
  <dimension ref="A1:V55"/>
  <sheetViews>
    <sheetView topLeftCell="H2" zoomScale="62" zoomScaleNormal="89" workbookViewId="0">
      <selection activeCell="A36" sqref="A36"/>
    </sheetView>
  </sheetViews>
  <sheetFormatPr baseColWidth="10" defaultRowHeight="14.5" x14ac:dyDescent="0.35"/>
  <cols>
    <col min="1" max="1" width="71.6328125" customWidth="1"/>
    <col min="7" max="7" width="10.90625" style="35"/>
    <col min="8" max="8" width="67.36328125" customWidth="1"/>
    <col min="14" max="14" width="10.90625" style="35"/>
    <col min="15" max="15" width="63.6328125" customWidth="1"/>
  </cols>
  <sheetData>
    <row r="1" spans="1:22" ht="26" x14ac:dyDescent="0.6">
      <c r="A1" s="93" t="s">
        <v>23</v>
      </c>
      <c r="B1" s="93"/>
      <c r="C1" s="93"/>
      <c r="D1" s="93"/>
      <c r="E1" s="93"/>
      <c r="F1" s="93"/>
      <c r="G1" s="15"/>
      <c r="H1" s="93" t="s">
        <v>24</v>
      </c>
      <c r="I1" s="93"/>
      <c r="J1" s="93"/>
      <c r="K1" s="93"/>
      <c r="L1" s="93"/>
      <c r="M1" s="93"/>
      <c r="O1" s="93" t="s">
        <v>25</v>
      </c>
      <c r="P1" s="93"/>
      <c r="Q1" s="93"/>
      <c r="R1" s="93"/>
      <c r="S1" s="93"/>
      <c r="T1" s="93"/>
    </row>
    <row r="2" spans="1:22" x14ac:dyDescent="0.35">
      <c r="A2" s="10" t="s">
        <v>85</v>
      </c>
      <c r="B2" s="11">
        <v>2021</v>
      </c>
      <c r="C2" s="11">
        <v>2022</v>
      </c>
      <c r="D2" s="11">
        <v>2023</v>
      </c>
      <c r="E2" s="11">
        <v>2024</v>
      </c>
      <c r="F2" s="11">
        <v>2025</v>
      </c>
      <c r="H2" s="4" t="s">
        <v>86</v>
      </c>
      <c r="I2" s="2"/>
      <c r="J2" s="2"/>
      <c r="K2" s="2"/>
      <c r="L2" s="2"/>
      <c r="M2" s="2"/>
      <c r="N2" s="36"/>
      <c r="O2" s="10" t="s">
        <v>85</v>
      </c>
      <c r="P2" s="9">
        <v>2021</v>
      </c>
      <c r="Q2" s="9">
        <v>2022</v>
      </c>
      <c r="R2" s="9">
        <v>2023</v>
      </c>
      <c r="S2" s="9">
        <v>2024</v>
      </c>
      <c r="T2" s="9">
        <v>2025</v>
      </c>
    </row>
    <row r="3" spans="1:22" x14ac:dyDescent="0.35">
      <c r="A3" s="4" t="s">
        <v>37</v>
      </c>
      <c r="B3" s="27">
        <v>2933.6</v>
      </c>
      <c r="C3" s="27">
        <v>3177.2</v>
      </c>
      <c r="D3" s="27">
        <v>3480.2</v>
      </c>
      <c r="E3" s="27">
        <v>3926.3</v>
      </c>
      <c r="F3" s="27">
        <v>3660.2</v>
      </c>
      <c r="H3" s="10" t="s">
        <v>85</v>
      </c>
      <c r="I3" s="10">
        <v>2021</v>
      </c>
      <c r="J3" s="10">
        <v>2022</v>
      </c>
      <c r="K3" s="10">
        <v>2023</v>
      </c>
      <c r="L3" s="10">
        <v>2024</v>
      </c>
      <c r="M3" s="10">
        <v>2025</v>
      </c>
      <c r="O3" s="4" t="s">
        <v>174</v>
      </c>
      <c r="P3" s="2">
        <v>222.7</v>
      </c>
      <c r="Q3" s="2">
        <v>278.39999999999998</v>
      </c>
      <c r="R3" s="2">
        <v>308.10000000000002</v>
      </c>
      <c r="S3" s="2">
        <v>374.4</v>
      </c>
      <c r="T3" s="2">
        <v>239.3</v>
      </c>
    </row>
    <row r="4" spans="1:22" x14ac:dyDescent="0.35">
      <c r="A4" s="2" t="s">
        <v>89</v>
      </c>
      <c r="B4" s="27">
        <v>23.7</v>
      </c>
      <c r="C4" s="27">
        <v>18.8</v>
      </c>
      <c r="D4" s="27">
        <v>22.7</v>
      </c>
      <c r="E4" s="27">
        <v>18.7</v>
      </c>
      <c r="F4" s="27">
        <v>28.4</v>
      </c>
      <c r="H4" s="4" t="s">
        <v>176</v>
      </c>
      <c r="I4" s="27">
        <v>279.39999999999998</v>
      </c>
      <c r="J4" s="27">
        <v>344.9</v>
      </c>
      <c r="K4" s="27">
        <v>351</v>
      </c>
      <c r="L4" s="27">
        <v>367.5</v>
      </c>
      <c r="M4" s="27">
        <v>421.3</v>
      </c>
      <c r="O4" s="2" t="s">
        <v>40</v>
      </c>
      <c r="P4" s="2">
        <v>0.2</v>
      </c>
      <c r="Q4" s="2">
        <v>0.1</v>
      </c>
      <c r="R4" s="2">
        <v>0.2</v>
      </c>
      <c r="S4" s="2">
        <v>0.1</v>
      </c>
      <c r="T4" s="2">
        <v>0.1</v>
      </c>
    </row>
    <row r="5" spans="1:22" x14ac:dyDescent="0.35">
      <c r="A5" s="2" t="s">
        <v>90</v>
      </c>
      <c r="B5" s="27">
        <v>24.7</v>
      </c>
      <c r="C5" s="27">
        <v>-25.6</v>
      </c>
      <c r="D5" s="27">
        <v>143.80000000000001</v>
      </c>
      <c r="E5" s="27">
        <v>228.5</v>
      </c>
      <c r="F5" s="27">
        <v>-169.8</v>
      </c>
      <c r="H5" s="2" t="s">
        <v>12</v>
      </c>
      <c r="I5" s="27">
        <v>58.3</v>
      </c>
      <c r="J5" s="27">
        <v>102.7</v>
      </c>
      <c r="K5" s="27">
        <v>97</v>
      </c>
      <c r="L5" s="27">
        <v>91.9</v>
      </c>
      <c r="M5" s="27">
        <v>134.9</v>
      </c>
      <c r="O5" s="2" t="s">
        <v>41</v>
      </c>
      <c r="P5" s="2">
        <v>-3.7</v>
      </c>
      <c r="Q5" s="2">
        <v>-4</v>
      </c>
      <c r="R5" s="2">
        <v>-2.2999999999999998</v>
      </c>
      <c r="S5" s="2">
        <v>-0.9</v>
      </c>
      <c r="T5" s="2">
        <v>-2.7</v>
      </c>
    </row>
    <row r="6" spans="1:22" x14ac:dyDescent="0.35">
      <c r="A6" s="2" t="s">
        <v>91</v>
      </c>
      <c r="B6" s="27">
        <v>-2005.4</v>
      </c>
      <c r="C6" s="27">
        <v>-2119.3000000000002</v>
      </c>
      <c r="D6" s="27">
        <v>-2449.6</v>
      </c>
      <c r="E6" s="27">
        <v>-2799.6</v>
      </c>
      <c r="F6" s="27">
        <v>-2312.6999999999998</v>
      </c>
      <c r="H6" s="2" t="s">
        <v>177</v>
      </c>
      <c r="I6" s="27">
        <v>310.39999999999998</v>
      </c>
      <c r="J6" s="27">
        <v>399</v>
      </c>
      <c r="K6" s="27">
        <v>422.1</v>
      </c>
      <c r="L6" s="27">
        <v>454.7</v>
      </c>
      <c r="M6" s="27">
        <v>514.6</v>
      </c>
      <c r="O6" s="2" t="s">
        <v>200</v>
      </c>
      <c r="P6" s="2">
        <v>58.3</v>
      </c>
      <c r="Q6" s="2">
        <v>83.4</v>
      </c>
      <c r="R6" s="2">
        <v>105.7</v>
      </c>
      <c r="S6" s="2">
        <v>124.3</v>
      </c>
      <c r="T6" s="2">
        <v>85.4</v>
      </c>
    </row>
    <row r="7" spans="1:22" x14ac:dyDescent="0.35">
      <c r="A7" s="2" t="s">
        <v>92</v>
      </c>
      <c r="B7" s="27">
        <v>-378.6</v>
      </c>
      <c r="C7" s="27">
        <v>-420.2</v>
      </c>
      <c r="D7" s="27">
        <v>-468.4</v>
      </c>
      <c r="E7" s="27">
        <v>-516.1</v>
      </c>
      <c r="F7" s="27">
        <v>-523.9</v>
      </c>
      <c r="H7" s="2" t="s">
        <v>66</v>
      </c>
      <c r="I7" s="27">
        <v>30.2</v>
      </c>
      <c r="J7" s="27">
        <v>15.7</v>
      </c>
      <c r="K7" s="27">
        <v>16</v>
      </c>
      <c r="L7" s="27">
        <v>16.899999999999999</v>
      </c>
      <c r="M7" s="27">
        <v>19.600000000000001</v>
      </c>
      <c r="O7" s="2" t="s">
        <v>42</v>
      </c>
      <c r="P7" s="2">
        <v>42.6</v>
      </c>
      <c r="Q7" s="2">
        <v>65</v>
      </c>
      <c r="R7" s="2">
        <v>58</v>
      </c>
      <c r="S7" s="2">
        <v>69.8</v>
      </c>
      <c r="T7" s="2">
        <v>68.8</v>
      </c>
    </row>
    <row r="8" spans="1:22" x14ac:dyDescent="0.35">
      <c r="A8" s="2" t="s">
        <v>93</v>
      </c>
      <c r="B8" s="27">
        <v>-192.2</v>
      </c>
      <c r="C8" s="27">
        <v>-214.5</v>
      </c>
      <c r="D8" s="27">
        <v>-237.1</v>
      </c>
      <c r="E8" s="27">
        <v>-265.3</v>
      </c>
      <c r="F8" s="27">
        <v>-256.8</v>
      </c>
      <c r="H8" s="2" t="s">
        <v>67</v>
      </c>
      <c r="I8" s="27">
        <v>3.6</v>
      </c>
      <c r="J8" s="27">
        <v>4.3</v>
      </c>
      <c r="K8" s="27">
        <v>4.5999999999999996</v>
      </c>
      <c r="L8" s="27">
        <v>6.2</v>
      </c>
      <c r="M8" s="27">
        <v>9.1999999999999993</v>
      </c>
      <c r="O8" s="2" t="s">
        <v>43</v>
      </c>
      <c r="P8" s="2">
        <v>0.2</v>
      </c>
      <c r="Q8" s="2">
        <v>2.9</v>
      </c>
      <c r="R8" s="2">
        <v>8.5</v>
      </c>
      <c r="S8" s="2">
        <v>2.9</v>
      </c>
      <c r="T8" s="2">
        <v>0.5</v>
      </c>
    </row>
    <row r="9" spans="1:22" x14ac:dyDescent="0.35">
      <c r="A9" s="2" t="s">
        <v>94</v>
      </c>
      <c r="B9" s="27">
        <v>-8.8000000000000007</v>
      </c>
      <c r="C9" s="27">
        <v>-11.7</v>
      </c>
      <c r="D9" s="27">
        <v>-12</v>
      </c>
      <c r="E9" s="27">
        <v>-11.8</v>
      </c>
      <c r="F9" s="27">
        <v>-14</v>
      </c>
      <c r="H9" s="2" t="s">
        <v>68</v>
      </c>
      <c r="I9" s="27">
        <v>51.3</v>
      </c>
      <c r="J9" s="27">
        <v>47</v>
      </c>
      <c r="K9" s="27">
        <v>40.4</v>
      </c>
      <c r="L9" s="27">
        <v>42</v>
      </c>
      <c r="M9" s="27">
        <v>41.1</v>
      </c>
      <c r="O9" s="2" t="s">
        <v>185</v>
      </c>
      <c r="P9" s="2">
        <v>2.1</v>
      </c>
      <c r="Q9" s="2">
        <v>1.7</v>
      </c>
      <c r="R9" s="2">
        <v>-0.8</v>
      </c>
      <c r="S9" s="2">
        <v>-6.6</v>
      </c>
      <c r="T9" s="2">
        <v>-0.8</v>
      </c>
    </row>
    <row r="10" spans="1:22" x14ac:dyDescent="0.35">
      <c r="A10" s="2" t="s">
        <v>95</v>
      </c>
      <c r="B10" s="27">
        <v>-39</v>
      </c>
      <c r="C10" s="27">
        <v>-62</v>
      </c>
      <c r="D10" s="27">
        <v>-56.2</v>
      </c>
      <c r="E10" s="27">
        <v>-80</v>
      </c>
      <c r="F10" s="27">
        <v>-75.5</v>
      </c>
      <c r="H10" s="2" t="s">
        <v>69</v>
      </c>
      <c r="I10" s="27">
        <v>0.2</v>
      </c>
      <c r="J10" s="27">
        <v>0.1</v>
      </c>
      <c r="K10" s="27">
        <v>0.1</v>
      </c>
      <c r="L10" s="27">
        <v>0.2</v>
      </c>
      <c r="M10" s="27">
        <v>0.2</v>
      </c>
      <c r="O10" s="2" t="s">
        <v>44</v>
      </c>
      <c r="P10" s="2">
        <v>75.2</v>
      </c>
      <c r="Q10" s="2">
        <v>-19.899999999999999</v>
      </c>
      <c r="R10" s="2">
        <v>0.2</v>
      </c>
      <c r="S10" s="2">
        <v>-8.9</v>
      </c>
      <c r="T10" s="2">
        <v>-3.8</v>
      </c>
    </row>
    <row r="11" spans="1:22" x14ac:dyDescent="0.35">
      <c r="A11" s="10" t="s">
        <v>96</v>
      </c>
      <c r="B11" s="25">
        <v>357.9</v>
      </c>
      <c r="C11" s="25">
        <v>342.7</v>
      </c>
      <c r="D11" s="25">
        <v>423.4</v>
      </c>
      <c r="E11" s="25">
        <v>500.7</v>
      </c>
      <c r="F11" s="25">
        <v>335.9</v>
      </c>
      <c r="H11" s="10" t="s">
        <v>70</v>
      </c>
      <c r="I11" s="25">
        <v>733.5</v>
      </c>
      <c r="J11" s="25">
        <v>913.7</v>
      </c>
      <c r="K11" s="25">
        <v>931.1</v>
      </c>
      <c r="L11" s="25">
        <v>979.4</v>
      </c>
      <c r="M11" s="25">
        <v>1140.9000000000001</v>
      </c>
      <c r="O11" s="10" t="s">
        <v>45</v>
      </c>
      <c r="P11" s="11">
        <v>397.5</v>
      </c>
      <c r="Q11" s="11">
        <v>407.6</v>
      </c>
      <c r="R11" s="11">
        <v>477.7</v>
      </c>
      <c r="S11" s="11">
        <v>555.1</v>
      </c>
      <c r="T11" s="11">
        <v>386.8</v>
      </c>
      <c r="V11" s="29"/>
    </row>
    <row r="12" spans="1:22" x14ac:dyDescent="0.35">
      <c r="A12" s="2" t="s">
        <v>173</v>
      </c>
      <c r="B12" s="27">
        <v>0.1</v>
      </c>
      <c r="C12" s="27">
        <v>-1.5</v>
      </c>
      <c r="D12" s="27">
        <v>-0.7</v>
      </c>
      <c r="E12" s="27">
        <v>-1.7</v>
      </c>
      <c r="F12" s="27">
        <v>-1.6</v>
      </c>
      <c r="H12" s="2" t="s">
        <v>71</v>
      </c>
      <c r="I12" s="27">
        <v>504.2</v>
      </c>
      <c r="J12" s="27">
        <v>596</v>
      </c>
      <c r="K12" s="27">
        <v>804.6</v>
      </c>
      <c r="L12" s="27">
        <v>1068.5</v>
      </c>
      <c r="M12" s="27">
        <v>899.6</v>
      </c>
      <c r="O12" s="2" t="s">
        <v>46</v>
      </c>
      <c r="P12" s="3">
        <v>1.6</v>
      </c>
      <c r="Q12" s="3">
        <v>18.5</v>
      </c>
      <c r="R12" s="3">
        <v>2.7</v>
      </c>
      <c r="S12" s="3" t="s">
        <v>178</v>
      </c>
      <c r="T12" s="3" t="s">
        <v>178</v>
      </c>
    </row>
    <row r="13" spans="1:22" x14ac:dyDescent="0.35">
      <c r="A13" s="10" t="s">
        <v>6</v>
      </c>
      <c r="B13" s="55">
        <v>358</v>
      </c>
      <c r="C13" s="55">
        <v>341.2</v>
      </c>
      <c r="D13" s="55">
        <v>422.7</v>
      </c>
      <c r="E13" s="55">
        <v>499</v>
      </c>
      <c r="F13" s="55">
        <v>334.3</v>
      </c>
      <c r="H13" s="2" t="s">
        <v>72</v>
      </c>
      <c r="I13" s="27">
        <v>206</v>
      </c>
      <c r="J13" s="27">
        <v>242.1</v>
      </c>
      <c r="K13" s="27">
        <v>282.7</v>
      </c>
      <c r="L13" s="27">
        <v>398.9</v>
      </c>
      <c r="M13" s="27">
        <v>341.6</v>
      </c>
      <c r="O13" s="2" t="s">
        <v>47</v>
      </c>
      <c r="P13" s="3">
        <v>41.1</v>
      </c>
      <c r="Q13" s="3">
        <v>-148.6</v>
      </c>
      <c r="R13" s="3">
        <v>-193.9</v>
      </c>
      <c r="S13" s="3">
        <v>-382.6</v>
      </c>
      <c r="T13" s="3">
        <v>314.89999999999998</v>
      </c>
    </row>
    <row r="14" spans="1:22" x14ac:dyDescent="0.35">
      <c r="A14" s="2" t="s">
        <v>97</v>
      </c>
      <c r="B14" s="27">
        <v>-1.9</v>
      </c>
      <c r="C14" s="27">
        <v>-2</v>
      </c>
      <c r="D14" s="27">
        <v>0.4</v>
      </c>
      <c r="E14" s="27">
        <v>-7.3</v>
      </c>
      <c r="F14" s="27">
        <v>0.8</v>
      </c>
      <c r="H14" s="2" t="s">
        <v>73</v>
      </c>
      <c r="I14" s="27">
        <v>2.6</v>
      </c>
      <c r="J14" s="27">
        <v>8</v>
      </c>
      <c r="K14" s="27">
        <v>6.4</v>
      </c>
      <c r="L14" s="27">
        <v>10.4</v>
      </c>
      <c r="M14" s="27">
        <v>29.5</v>
      </c>
      <c r="O14" s="2" t="s">
        <v>186</v>
      </c>
      <c r="P14" s="3">
        <v>-51.5</v>
      </c>
      <c r="Q14" s="3">
        <v>-106</v>
      </c>
      <c r="R14" s="3">
        <v>-84.8</v>
      </c>
      <c r="S14" s="3">
        <v>-131.9</v>
      </c>
      <c r="T14" s="3">
        <v>-137.80000000000001</v>
      </c>
    </row>
    <row r="15" spans="1:22" x14ac:dyDescent="0.35">
      <c r="A15" s="2" t="s">
        <v>98</v>
      </c>
      <c r="B15" s="27">
        <v>-78.599999999999994</v>
      </c>
      <c r="C15" s="27">
        <v>18.7</v>
      </c>
      <c r="D15" s="27">
        <v>-11.4</v>
      </c>
      <c r="E15" s="27">
        <v>6.2</v>
      </c>
      <c r="F15" s="27">
        <v>-13</v>
      </c>
      <c r="H15" s="2" t="s">
        <v>11</v>
      </c>
      <c r="I15" s="27">
        <v>149</v>
      </c>
      <c r="J15" s="27">
        <v>126.3</v>
      </c>
      <c r="K15" s="27">
        <v>144.80000000000001</v>
      </c>
      <c r="L15" s="27">
        <v>164.1</v>
      </c>
      <c r="M15" s="27">
        <v>212.9</v>
      </c>
      <c r="O15" s="10" t="s">
        <v>48</v>
      </c>
      <c r="P15" s="11">
        <v>388.8</v>
      </c>
      <c r="Q15" s="11">
        <v>171.5</v>
      </c>
      <c r="R15" s="11">
        <v>201.7</v>
      </c>
      <c r="S15" s="11">
        <v>40.6</v>
      </c>
      <c r="T15" s="11">
        <v>563.9</v>
      </c>
    </row>
    <row r="16" spans="1:22" x14ac:dyDescent="0.35">
      <c r="A16" s="10" t="s">
        <v>99</v>
      </c>
      <c r="B16" s="55">
        <v>-80.5</v>
      </c>
      <c r="C16" s="55">
        <v>16.7</v>
      </c>
      <c r="D16" s="55">
        <v>-11</v>
      </c>
      <c r="E16" s="55">
        <v>-1.1000000000000001</v>
      </c>
      <c r="F16" s="55">
        <v>-12.2</v>
      </c>
      <c r="H16" s="2" t="s">
        <v>9</v>
      </c>
      <c r="I16" s="27">
        <v>597.5</v>
      </c>
      <c r="J16" s="27">
        <v>447.4</v>
      </c>
      <c r="K16" s="27">
        <v>359</v>
      </c>
      <c r="L16" s="27">
        <v>261.3</v>
      </c>
      <c r="M16" s="27">
        <v>650.79999999999995</v>
      </c>
      <c r="O16" s="2" t="s">
        <v>187</v>
      </c>
      <c r="P16" s="3" t="s">
        <v>178</v>
      </c>
      <c r="Q16" s="3">
        <v>-103.6</v>
      </c>
      <c r="R16" s="3">
        <v>-10</v>
      </c>
      <c r="S16" s="3">
        <v>-36.6</v>
      </c>
      <c r="T16" s="3">
        <v>-203</v>
      </c>
    </row>
    <row r="17" spans="1:20" x14ac:dyDescent="0.35">
      <c r="A17" s="2" t="s">
        <v>88</v>
      </c>
      <c r="B17" s="27">
        <v>-58.3</v>
      </c>
      <c r="C17" s="27">
        <v>-83.4</v>
      </c>
      <c r="D17" s="27">
        <v>-105.7</v>
      </c>
      <c r="E17" s="27">
        <v>-124.3</v>
      </c>
      <c r="F17" s="27">
        <v>-85.4</v>
      </c>
      <c r="H17" s="10" t="s">
        <v>8</v>
      </c>
      <c r="I17" s="25">
        <v>1459.3</v>
      </c>
      <c r="J17" s="25">
        <v>1419.8</v>
      </c>
      <c r="K17" s="25">
        <v>1597.5</v>
      </c>
      <c r="L17" s="25">
        <v>1903.2</v>
      </c>
      <c r="M17" s="25">
        <v>2134.4</v>
      </c>
      <c r="O17" s="2" t="s">
        <v>49</v>
      </c>
      <c r="P17" s="3">
        <v>-2.9</v>
      </c>
      <c r="Q17" s="3">
        <v>-3.7</v>
      </c>
      <c r="R17" s="3">
        <v>-3.6</v>
      </c>
      <c r="S17" s="3">
        <v>-2.7</v>
      </c>
      <c r="T17" s="3">
        <v>-2.1</v>
      </c>
    </row>
    <row r="18" spans="1:20" x14ac:dyDescent="0.35">
      <c r="A18" s="2" t="s">
        <v>100</v>
      </c>
      <c r="B18" s="27">
        <v>3.7</v>
      </c>
      <c r="C18" s="27">
        <v>4</v>
      </c>
      <c r="D18" s="27">
        <v>2.2999999999999998</v>
      </c>
      <c r="E18" s="27">
        <v>0.9</v>
      </c>
      <c r="F18" s="27">
        <v>2.7</v>
      </c>
      <c r="H18" s="53" t="s">
        <v>74</v>
      </c>
      <c r="I18" s="56">
        <v>1.9</v>
      </c>
      <c r="J18" s="56" t="s">
        <v>178</v>
      </c>
      <c r="K18" s="56" t="s">
        <v>178</v>
      </c>
      <c r="L18" s="56" t="s">
        <v>178</v>
      </c>
      <c r="M18" s="56" t="s">
        <v>178</v>
      </c>
      <c r="O18" s="2" t="s">
        <v>50</v>
      </c>
      <c r="P18" s="3">
        <v>-39.700000000000003</v>
      </c>
      <c r="Q18" s="3">
        <v>-74.5</v>
      </c>
      <c r="R18" s="3">
        <v>-53.6</v>
      </c>
      <c r="S18" s="3">
        <v>-58.1</v>
      </c>
      <c r="T18" s="3">
        <v>-41.1</v>
      </c>
    </row>
    <row r="19" spans="1:20" x14ac:dyDescent="0.35">
      <c r="A19" s="10" t="s">
        <v>3</v>
      </c>
      <c r="B19" s="55">
        <v>222.9</v>
      </c>
      <c r="C19" s="55">
        <v>278.5</v>
      </c>
      <c r="D19" s="55">
        <v>308.3</v>
      </c>
      <c r="E19" s="55">
        <v>374.5</v>
      </c>
      <c r="F19" s="55">
        <v>239.4</v>
      </c>
      <c r="H19" s="10" t="s">
        <v>179</v>
      </c>
      <c r="I19" s="25">
        <v>2194.6999999999998</v>
      </c>
      <c r="J19" s="25">
        <v>2333.4</v>
      </c>
      <c r="K19" s="25">
        <v>2528.6</v>
      </c>
      <c r="L19" s="25">
        <v>2882.6</v>
      </c>
      <c r="M19" s="25">
        <v>3275.3</v>
      </c>
      <c r="O19" s="2" t="s">
        <v>15</v>
      </c>
      <c r="P19" s="3">
        <v>2.1</v>
      </c>
      <c r="Q19" s="3">
        <v>3.8</v>
      </c>
      <c r="R19" s="3">
        <v>2</v>
      </c>
      <c r="S19" s="3">
        <v>1.3</v>
      </c>
      <c r="T19" s="3">
        <v>2.2999999999999998</v>
      </c>
    </row>
    <row r="20" spans="1:20" x14ac:dyDescent="0.35">
      <c r="A20" s="2" t="s">
        <v>174</v>
      </c>
      <c r="B20" s="27">
        <v>222.7</v>
      </c>
      <c r="C20" s="27">
        <v>278.39999999999998</v>
      </c>
      <c r="D20" s="27">
        <v>308.10000000000002</v>
      </c>
      <c r="E20" s="27">
        <v>374.4</v>
      </c>
      <c r="F20" s="27">
        <v>239.3</v>
      </c>
      <c r="I20" s="57"/>
      <c r="J20" s="57"/>
      <c r="K20" s="57"/>
      <c r="L20" s="57"/>
      <c r="M20" s="57"/>
      <c r="O20" s="2" t="s">
        <v>51</v>
      </c>
      <c r="P20" s="3">
        <v>0.3</v>
      </c>
      <c r="Q20" s="3">
        <v>0.3</v>
      </c>
      <c r="R20" s="3">
        <v>2.7</v>
      </c>
      <c r="S20" s="3">
        <v>-2.1</v>
      </c>
      <c r="T20" s="3">
        <v>-3.3</v>
      </c>
    </row>
    <row r="21" spans="1:20" x14ac:dyDescent="0.35">
      <c r="A21" s="10" t="s">
        <v>175</v>
      </c>
      <c r="B21" s="55">
        <v>11.56</v>
      </c>
      <c r="C21" s="55">
        <v>14.58</v>
      </c>
      <c r="D21" s="55">
        <v>15.95</v>
      </c>
      <c r="E21" s="55">
        <v>19.39</v>
      </c>
      <c r="F21" s="55">
        <v>12.41</v>
      </c>
      <c r="I21" s="57"/>
      <c r="J21" s="57"/>
      <c r="K21" s="57"/>
      <c r="L21" s="57"/>
      <c r="M21" s="57"/>
      <c r="O21" s="10" t="s">
        <v>52</v>
      </c>
      <c r="P21" s="11">
        <v>-40.200000000000003</v>
      </c>
      <c r="Q21" s="11">
        <v>-177.7</v>
      </c>
      <c r="R21" s="11">
        <v>-62.5</v>
      </c>
      <c r="S21" s="11">
        <v>-98.2</v>
      </c>
      <c r="T21" s="11">
        <v>-247.2</v>
      </c>
    </row>
    <row r="22" spans="1:20" x14ac:dyDescent="0.35">
      <c r="A22" s="4"/>
      <c r="B22" s="4"/>
      <c r="C22" s="4"/>
      <c r="D22" s="4"/>
      <c r="E22" s="4"/>
      <c r="F22" s="4"/>
      <c r="I22" s="58"/>
      <c r="J22" s="58"/>
      <c r="K22" s="58"/>
      <c r="L22" s="58"/>
      <c r="M22" s="58"/>
      <c r="O22" s="2" t="s">
        <v>188</v>
      </c>
      <c r="P22" s="3">
        <v>0.2</v>
      </c>
      <c r="Q22" s="3">
        <v>-22.9</v>
      </c>
      <c r="R22" s="3">
        <v>27.9</v>
      </c>
      <c r="S22" s="3">
        <v>-0.7</v>
      </c>
      <c r="T22" s="3">
        <v>-1.9</v>
      </c>
    </row>
    <row r="23" spans="1:20" x14ac:dyDescent="0.35">
      <c r="A23" s="4"/>
      <c r="B23" s="4"/>
      <c r="C23" s="4"/>
      <c r="D23" s="4"/>
      <c r="E23" s="4"/>
      <c r="F23" s="4"/>
      <c r="H23" s="4" t="s">
        <v>87</v>
      </c>
      <c r="I23" s="58"/>
      <c r="J23" s="58"/>
      <c r="K23" s="58"/>
      <c r="L23" s="58"/>
      <c r="M23" s="58"/>
      <c r="O23" s="2" t="s">
        <v>194</v>
      </c>
      <c r="P23" s="3">
        <v>-6</v>
      </c>
      <c r="Q23" s="3">
        <v>-10.6</v>
      </c>
      <c r="R23" s="3">
        <v>-14.4</v>
      </c>
      <c r="S23" s="3">
        <v>-18.600000000000001</v>
      </c>
      <c r="T23" s="3">
        <v>-23</v>
      </c>
    </row>
    <row r="24" spans="1:20" x14ac:dyDescent="0.35">
      <c r="A24" s="1"/>
      <c r="B24" s="8"/>
      <c r="C24" s="8"/>
      <c r="D24" s="8"/>
      <c r="E24" s="8"/>
      <c r="F24" s="8"/>
      <c r="H24" s="2" t="s">
        <v>75</v>
      </c>
      <c r="I24" s="27">
        <v>86.5</v>
      </c>
      <c r="J24" s="27">
        <v>86.5</v>
      </c>
      <c r="K24" s="27">
        <v>86.5</v>
      </c>
      <c r="L24" s="27">
        <v>86.5</v>
      </c>
      <c r="M24" s="27">
        <v>86.5</v>
      </c>
      <c r="O24" s="2" t="s">
        <v>53</v>
      </c>
      <c r="P24" s="3">
        <v>6.2</v>
      </c>
      <c r="Q24" s="3">
        <v>14.1</v>
      </c>
      <c r="R24" s="3">
        <v>1.3</v>
      </c>
      <c r="S24" s="3">
        <v>0.7</v>
      </c>
      <c r="T24" s="3">
        <v>199.5</v>
      </c>
    </row>
    <row r="25" spans="1:20" x14ac:dyDescent="0.35">
      <c r="A25" s="4"/>
      <c r="B25" s="3"/>
      <c r="C25" s="3"/>
      <c r="D25" s="3"/>
      <c r="E25" s="3"/>
      <c r="F25" s="3"/>
      <c r="H25" s="2" t="s">
        <v>76</v>
      </c>
      <c r="I25" s="27">
        <v>1089.9000000000001</v>
      </c>
      <c r="J25" s="27">
        <v>1254.2</v>
      </c>
      <c r="K25" s="27">
        <v>1518.3</v>
      </c>
      <c r="L25" s="27">
        <v>1827.9</v>
      </c>
      <c r="M25" s="27">
        <v>1994</v>
      </c>
      <c r="O25" s="2" t="s">
        <v>54</v>
      </c>
      <c r="P25" s="3">
        <v>-32.299999999999997</v>
      </c>
      <c r="Q25" s="3">
        <v>-36.799999999999997</v>
      </c>
      <c r="R25" s="3">
        <v>-10.7</v>
      </c>
      <c r="S25" s="3">
        <v>-6.5</v>
      </c>
      <c r="T25" s="3">
        <v>-25.4</v>
      </c>
    </row>
    <row r="26" spans="1:20" x14ac:dyDescent="0.35">
      <c r="A26" s="4" t="s">
        <v>36</v>
      </c>
      <c r="B26" s="12">
        <v>0.34300000000000003</v>
      </c>
      <c r="C26" s="12">
        <v>8.3000000000000004E-2</v>
      </c>
      <c r="D26" s="12">
        <v>9.5000000000000001E-2</v>
      </c>
      <c r="E26" s="12">
        <v>0.128</v>
      </c>
      <c r="F26" s="13">
        <v>-6.8000000000000005E-2</v>
      </c>
      <c r="H26" s="10" t="s">
        <v>180</v>
      </c>
      <c r="I26" s="25">
        <v>1176.4000000000001</v>
      </c>
      <c r="J26" s="25">
        <v>1340.7</v>
      </c>
      <c r="K26" s="25">
        <v>1604.8</v>
      </c>
      <c r="L26" s="25">
        <v>1914.4</v>
      </c>
      <c r="M26" s="25">
        <v>2080.5</v>
      </c>
      <c r="O26" s="2" t="s">
        <v>55</v>
      </c>
      <c r="P26" s="3" t="s">
        <v>178</v>
      </c>
      <c r="Q26" s="3" t="s">
        <v>178</v>
      </c>
      <c r="R26" s="3" t="s">
        <v>178</v>
      </c>
      <c r="S26" s="3">
        <v>39.700000000000003</v>
      </c>
      <c r="T26" s="3">
        <v>2.1</v>
      </c>
    </row>
    <row r="27" spans="1:20" x14ac:dyDescent="0.35">
      <c r="A27" s="4" t="s">
        <v>189</v>
      </c>
      <c r="B27" s="27">
        <v>1980.7</v>
      </c>
      <c r="C27" s="27">
        <v>2144.9</v>
      </c>
      <c r="D27" s="27">
        <v>2305.8000000000002</v>
      </c>
      <c r="E27" s="27">
        <v>2571.1</v>
      </c>
      <c r="F27" s="27">
        <v>2482.5</v>
      </c>
      <c r="H27" s="2" t="s">
        <v>77</v>
      </c>
      <c r="I27" s="27">
        <v>0.9</v>
      </c>
      <c r="J27" s="27">
        <v>0.4</v>
      </c>
      <c r="K27" s="27">
        <v>0.6</v>
      </c>
      <c r="L27" s="27">
        <v>0.7</v>
      </c>
      <c r="M27" s="27">
        <v>0.8</v>
      </c>
      <c r="O27" s="2" t="s">
        <v>56</v>
      </c>
      <c r="P27" s="3">
        <v>-2.4</v>
      </c>
      <c r="Q27" s="3">
        <v>-2.6</v>
      </c>
      <c r="R27" s="3">
        <v>-4.8</v>
      </c>
      <c r="S27" s="3">
        <v>-1</v>
      </c>
      <c r="T27" s="3">
        <v>-3.6</v>
      </c>
    </row>
    <row r="28" spans="1:20" x14ac:dyDescent="0.35">
      <c r="A28" s="4" t="s">
        <v>4</v>
      </c>
      <c r="B28" s="27">
        <v>952.9</v>
      </c>
      <c r="C28" s="27">
        <v>1032.3</v>
      </c>
      <c r="D28" s="27">
        <v>1174.4000000000001</v>
      </c>
      <c r="E28" s="27">
        <v>1355.2</v>
      </c>
      <c r="F28" s="27">
        <v>1177.7</v>
      </c>
      <c r="H28" s="10" t="s">
        <v>78</v>
      </c>
      <c r="I28" s="25">
        <v>1177.4000000000001</v>
      </c>
      <c r="J28" s="25">
        <v>1341.1</v>
      </c>
      <c r="K28" s="25">
        <v>1605.4</v>
      </c>
      <c r="L28" s="25">
        <v>1915.1</v>
      </c>
      <c r="M28" s="25">
        <v>2081.3000000000002</v>
      </c>
      <c r="O28" s="2" t="s">
        <v>57</v>
      </c>
      <c r="P28" s="3">
        <v>0.3</v>
      </c>
      <c r="Q28" s="3">
        <v>0.8</v>
      </c>
      <c r="R28" s="3">
        <v>5.5</v>
      </c>
      <c r="S28" s="3">
        <v>6.4</v>
      </c>
      <c r="T28" s="3">
        <v>6.4</v>
      </c>
    </row>
    <row r="29" spans="1:20" x14ac:dyDescent="0.35">
      <c r="A29" s="4" t="s">
        <v>190</v>
      </c>
      <c r="B29" s="63">
        <f>B28/B3</f>
        <v>0.32482274338696482</v>
      </c>
      <c r="C29" s="12">
        <v>0.32500000000000001</v>
      </c>
      <c r="D29" s="12">
        <v>0.33700000000000002</v>
      </c>
      <c r="E29" s="12">
        <v>0.34499999999999997</v>
      </c>
      <c r="F29" s="12">
        <v>0.32200000000000001</v>
      </c>
      <c r="H29" s="2" t="s">
        <v>181</v>
      </c>
      <c r="I29" s="27">
        <v>167.9</v>
      </c>
      <c r="J29" s="27">
        <v>163.1</v>
      </c>
      <c r="K29" s="27">
        <v>136.69999999999999</v>
      </c>
      <c r="L29" s="27">
        <v>145.5</v>
      </c>
      <c r="M29" s="27">
        <v>252.1</v>
      </c>
      <c r="O29" s="2" t="s">
        <v>58</v>
      </c>
      <c r="P29" s="3">
        <v>-42.4</v>
      </c>
      <c r="Q29" s="3">
        <v>-95.1</v>
      </c>
      <c r="R29" s="3">
        <v>-67.599999999999994</v>
      </c>
      <c r="S29" s="3">
        <v>-67.599999999999994</v>
      </c>
      <c r="T29" s="3">
        <v>-67.5</v>
      </c>
    </row>
    <row r="30" spans="1:20" x14ac:dyDescent="0.35">
      <c r="A30" s="4" t="s">
        <v>2</v>
      </c>
      <c r="B30" s="27">
        <f>B13</f>
        <v>358</v>
      </c>
      <c r="C30" s="27">
        <f t="shared" ref="C30:F30" si="0">C13</f>
        <v>341.2</v>
      </c>
      <c r="D30" s="27">
        <f t="shared" si="0"/>
        <v>422.7</v>
      </c>
      <c r="E30" s="27">
        <f t="shared" si="0"/>
        <v>499</v>
      </c>
      <c r="F30" s="27">
        <f t="shared" si="0"/>
        <v>334.3</v>
      </c>
      <c r="H30" s="2" t="s">
        <v>182</v>
      </c>
      <c r="I30" s="27">
        <v>51.2</v>
      </c>
      <c r="J30" s="27">
        <v>52.3</v>
      </c>
      <c r="K30" s="27">
        <v>53.3</v>
      </c>
      <c r="L30" s="27">
        <v>59.5</v>
      </c>
      <c r="M30" s="27">
        <v>66.099999999999994</v>
      </c>
      <c r="O30" s="2" t="s">
        <v>59</v>
      </c>
      <c r="P30" s="3" t="s">
        <v>178</v>
      </c>
      <c r="Q30" s="3">
        <v>-0.3</v>
      </c>
      <c r="R30" s="3">
        <v>0</v>
      </c>
      <c r="S30" s="3" t="s">
        <v>178</v>
      </c>
      <c r="T30" s="3" t="s">
        <v>178</v>
      </c>
    </row>
    <row r="31" spans="1:20" x14ac:dyDescent="0.35">
      <c r="A31" s="4" t="s">
        <v>0</v>
      </c>
      <c r="B31" s="12">
        <f>B13/B3</f>
        <v>0.12203436051268067</v>
      </c>
      <c r="C31" s="12">
        <f t="shared" ref="C31:F31" si="1">C13/C3</f>
        <v>0.10739015485332998</v>
      </c>
      <c r="D31" s="12">
        <f t="shared" si="1"/>
        <v>0.12145853686569738</v>
      </c>
      <c r="E31" s="12">
        <f>E13/E3</f>
        <v>0.1270916639074956</v>
      </c>
      <c r="F31" s="12">
        <f t="shared" si="1"/>
        <v>9.133380689579805E-2</v>
      </c>
      <c r="H31" s="2" t="s">
        <v>79</v>
      </c>
      <c r="I31" s="27">
        <v>4.5</v>
      </c>
      <c r="J31" s="27">
        <v>15.6</v>
      </c>
      <c r="K31" s="27">
        <v>12.7</v>
      </c>
      <c r="L31" s="27">
        <v>10.1</v>
      </c>
      <c r="M31" s="27">
        <v>26.2</v>
      </c>
      <c r="O31" s="2" t="s">
        <v>60</v>
      </c>
      <c r="P31" s="3">
        <v>-6.8</v>
      </c>
      <c r="Q31" s="3">
        <v>-45.6</v>
      </c>
      <c r="R31" s="3">
        <v>-108.8</v>
      </c>
      <c r="S31" s="3" t="s">
        <v>178</v>
      </c>
      <c r="T31" s="3">
        <v>-10.9</v>
      </c>
    </row>
    <row r="32" spans="1:20" x14ac:dyDescent="0.35">
      <c r="A32" s="4" t="s">
        <v>3</v>
      </c>
      <c r="B32" s="27">
        <v>222.9</v>
      </c>
      <c r="C32" s="27">
        <v>278.5</v>
      </c>
      <c r="D32" s="27">
        <v>308.3</v>
      </c>
      <c r="E32" s="27">
        <v>374.5</v>
      </c>
      <c r="F32" s="27">
        <v>239.4</v>
      </c>
      <c r="H32" s="2" t="s">
        <v>14</v>
      </c>
      <c r="I32" s="27">
        <v>1.7</v>
      </c>
      <c r="J32" s="27">
        <v>2</v>
      </c>
      <c r="K32" s="27">
        <v>2</v>
      </c>
      <c r="L32" s="27">
        <v>2.4</v>
      </c>
      <c r="M32" s="27">
        <v>2.4</v>
      </c>
      <c r="O32" s="10" t="s">
        <v>61</v>
      </c>
      <c r="P32" s="11">
        <v>-83.2</v>
      </c>
      <c r="Q32" s="11">
        <v>-198.9</v>
      </c>
      <c r="R32" s="11">
        <v>-171.6</v>
      </c>
      <c r="S32" s="11">
        <v>-47.5</v>
      </c>
      <c r="T32" s="11">
        <v>75.7</v>
      </c>
    </row>
    <row r="33" spans="1:20" x14ac:dyDescent="0.35">
      <c r="A33" s="4" t="s">
        <v>191</v>
      </c>
      <c r="B33" s="62">
        <f>B32/B3</f>
        <v>7.5981728933733297E-2</v>
      </c>
      <c r="C33" s="62">
        <f t="shared" ref="C33:F33" si="2">C32/C3</f>
        <v>8.7655797557597892E-2</v>
      </c>
      <c r="D33" s="62">
        <f t="shared" si="2"/>
        <v>8.858686282397564E-2</v>
      </c>
      <c r="E33" s="62">
        <f t="shared" si="2"/>
        <v>9.5382421108932067E-2</v>
      </c>
      <c r="F33" s="62">
        <f t="shared" si="2"/>
        <v>6.5406261952898753E-2</v>
      </c>
      <c r="H33" s="10" t="s">
        <v>80</v>
      </c>
      <c r="I33" s="25">
        <v>225.3</v>
      </c>
      <c r="J33" s="25">
        <v>233</v>
      </c>
      <c r="K33" s="25">
        <v>204.7</v>
      </c>
      <c r="L33" s="25">
        <v>217.5</v>
      </c>
      <c r="M33" s="25">
        <v>346.8</v>
      </c>
      <c r="O33" s="2" t="s">
        <v>62</v>
      </c>
      <c r="P33" s="3">
        <v>1</v>
      </c>
      <c r="Q33" s="3">
        <v>-0.4</v>
      </c>
      <c r="R33" s="3">
        <v>-2</v>
      </c>
      <c r="S33" s="3">
        <v>2</v>
      </c>
      <c r="T33" s="3">
        <v>-0.6</v>
      </c>
    </row>
    <row r="34" spans="1:20" x14ac:dyDescent="0.35">
      <c r="A34" s="4" t="s">
        <v>1</v>
      </c>
      <c r="B34" s="43">
        <f>B11-B10</f>
        <v>396.9</v>
      </c>
      <c r="C34" s="43">
        <f t="shared" ref="C34:F34" si="3">C11-C10</f>
        <v>404.7</v>
      </c>
      <c r="D34" s="43">
        <f t="shared" si="3"/>
        <v>479.59999999999997</v>
      </c>
      <c r="E34" s="43">
        <f t="shared" si="3"/>
        <v>580.70000000000005</v>
      </c>
      <c r="F34" s="43">
        <f t="shared" si="3"/>
        <v>411.4</v>
      </c>
      <c r="H34" s="2" t="s">
        <v>183</v>
      </c>
      <c r="I34" s="27">
        <v>81.3</v>
      </c>
      <c r="J34" s="27">
        <v>158.6</v>
      </c>
      <c r="K34" s="27">
        <v>27.7</v>
      </c>
      <c r="L34" s="27">
        <v>71.2</v>
      </c>
      <c r="M34" s="27">
        <v>119.7</v>
      </c>
      <c r="O34" s="10" t="s">
        <v>63</v>
      </c>
      <c r="P34" s="11">
        <v>266.3</v>
      </c>
      <c r="Q34" s="11">
        <v>-205.5</v>
      </c>
      <c r="R34" s="11">
        <v>-34.4</v>
      </c>
      <c r="S34" s="11">
        <v>-103.1</v>
      </c>
      <c r="T34" s="11">
        <v>391.8</v>
      </c>
    </row>
    <row r="35" spans="1:20" x14ac:dyDescent="0.35">
      <c r="A35" s="4"/>
      <c r="B35" s="4"/>
      <c r="C35" s="4"/>
      <c r="D35" s="4"/>
      <c r="E35" s="4"/>
      <c r="F35" s="4"/>
      <c r="H35" s="2" t="s">
        <v>81</v>
      </c>
      <c r="I35" s="27">
        <v>22.6</v>
      </c>
      <c r="J35" s="27">
        <v>26.9</v>
      </c>
      <c r="K35" s="27">
        <v>26.6</v>
      </c>
      <c r="L35" s="27">
        <v>26.2</v>
      </c>
      <c r="M35" s="27">
        <v>26.9</v>
      </c>
      <c r="O35" s="10" t="s">
        <v>64</v>
      </c>
      <c r="P35" s="11">
        <v>330.3</v>
      </c>
      <c r="Q35" s="11">
        <v>596.6</v>
      </c>
      <c r="R35" s="11">
        <v>391.1</v>
      </c>
      <c r="S35" s="11">
        <v>356.7</v>
      </c>
      <c r="T35" s="11">
        <v>253.6</v>
      </c>
    </row>
    <row r="36" spans="1:20" x14ac:dyDescent="0.35">
      <c r="A36" s="4"/>
      <c r="B36" s="4"/>
      <c r="C36" s="4"/>
      <c r="D36" s="4"/>
      <c r="E36" s="4"/>
      <c r="F36" s="4"/>
      <c r="H36" s="2" t="s">
        <v>82</v>
      </c>
      <c r="I36" s="27">
        <v>527.20000000000005</v>
      </c>
      <c r="J36" s="27">
        <v>404</v>
      </c>
      <c r="K36" s="27">
        <v>477.9</v>
      </c>
      <c r="L36" s="27">
        <v>439.1</v>
      </c>
      <c r="M36" s="27">
        <v>505</v>
      </c>
      <c r="O36" s="2" t="s">
        <v>9</v>
      </c>
      <c r="P36" s="3">
        <v>330.3</v>
      </c>
      <c r="Q36" s="3">
        <v>597.5</v>
      </c>
      <c r="R36" s="3">
        <v>447.4</v>
      </c>
      <c r="S36" s="3">
        <v>359</v>
      </c>
      <c r="T36" s="3">
        <v>261.3</v>
      </c>
    </row>
    <row r="37" spans="1:20" x14ac:dyDescent="0.35">
      <c r="H37" s="2" t="s">
        <v>83</v>
      </c>
      <c r="I37" s="27">
        <v>41.6</v>
      </c>
      <c r="J37" s="27">
        <v>20.2</v>
      </c>
      <c r="K37" s="27">
        <v>37.5</v>
      </c>
      <c r="L37" s="27">
        <v>38.200000000000003</v>
      </c>
      <c r="M37" s="27">
        <v>7.3</v>
      </c>
      <c r="O37" s="2" t="s">
        <v>201</v>
      </c>
      <c r="P37" s="3">
        <v>-0.1</v>
      </c>
      <c r="Q37" s="3">
        <v>-0.9</v>
      </c>
      <c r="R37" s="3">
        <v>-56.4</v>
      </c>
      <c r="S37" s="3">
        <v>-2.2999999999999998</v>
      </c>
      <c r="T37" s="3">
        <v>-7.7</v>
      </c>
    </row>
    <row r="38" spans="1:20" x14ac:dyDescent="0.35">
      <c r="H38" s="2" t="s">
        <v>13</v>
      </c>
      <c r="I38" s="27">
        <v>119.5</v>
      </c>
      <c r="J38" s="27">
        <v>149.6</v>
      </c>
      <c r="K38" s="27">
        <v>148.9</v>
      </c>
      <c r="L38" s="27">
        <v>175.3</v>
      </c>
      <c r="M38" s="27">
        <v>188.4</v>
      </c>
      <c r="O38" s="10" t="s">
        <v>65</v>
      </c>
      <c r="P38" s="11">
        <v>596.6</v>
      </c>
      <c r="Q38" s="11">
        <v>391.1</v>
      </c>
      <c r="R38" s="11">
        <v>356.7</v>
      </c>
      <c r="S38" s="11">
        <v>253.6</v>
      </c>
      <c r="T38" s="11">
        <v>645.4</v>
      </c>
    </row>
    <row r="39" spans="1:20" x14ac:dyDescent="0.35">
      <c r="H39" s="10" t="s">
        <v>84</v>
      </c>
      <c r="I39" s="25">
        <v>792.1</v>
      </c>
      <c r="J39" s="25">
        <v>759.3</v>
      </c>
      <c r="K39" s="25">
        <v>718.5</v>
      </c>
      <c r="L39" s="25">
        <v>750</v>
      </c>
      <c r="M39" s="25">
        <v>847.2</v>
      </c>
      <c r="O39" s="2" t="s">
        <v>9</v>
      </c>
      <c r="P39" s="3">
        <v>597.5</v>
      </c>
      <c r="Q39" s="3">
        <v>447.4</v>
      </c>
      <c r="R39" s="3">
        <v>359</v>
      </c>
      <c r="S39" s="3">
        <v>261.3</v>
      </c>
      <c r="T39" s="3">
        <v>650.79999999999995</v>
      </c>
    </row>
    <row r="40" spans="1:20" x14ac:dyDescent="0.35">
      <c r="H40" s="10" t="s">
        <v>184</v>
      </c>
      <c r="I40" s="25">
        <v>2194.6999999999998</v>
      </c>
      <c r="J40" s="25">
        <v>2333.4</v>
      </c>
      <c r="K40" s="25">
        <v>2528.6</v>
      </c>
      <c r="L40" s="25">
        <v>2882.6</v>
      </c>
      <c r="M40" s="25">
        <v>3275.3</v>
      </c>
      <c r="O40" s="2" t="s">
        <v>201</v>
      </c>
      <c r="P40" s="3">
        <v>-0.9</v>
      </c>
      <c r="Q40" s="3">
        <v>-56.4</v>
      </c>
      <c r="R40" s="3">
        <v>-2.2999999999999998</v>
      </c>
      <c r="S40" s="3">
        <v>-7.7</v>
      </c>
      <c r="T40" s="3">
        <v>-5.4</v>
      </c>
    </row>
    <row r="41" spans="1:20" x14ac:dyDescent="0.35">
      <c r="H41" s="2"/>
      <c r="I41" s="34"/>
      <c r="J41" s="34"/>
      <c r="K41" s="34"/>
      <c r="L41" s="34"/>
      <c r="M41" s="34"/>
      <c r="O41" t="s">
        <v>58</v>
      </c>
      <c r="P41" s="54">
        <v>-42.4</v>
      </c>
      <c r="Q41" s="54">
        <v>-95.1</v>
      </c>
      <c r="R41" s="54">
        <v>-67.599999999999994</v>
      </c>
      <c r="S41" s="54">
        <v>-67.599999999999994</v>
      </c>
      <c r="T41" s="54">
        <v>-67.5</v>
      </c>
    </row>
    <row r="42" spans="1:20" x14ac:dyDescent="0.35">
      <c r="O42" t="s">
        <v>59</v>
      </c>
      <c r="P42" s="54">
        <v>0</v>
      </c>
      <c r="Q42" s="54">
        <v>-0.3</v>
      </c>
      <c r="R42" s="54" t="s">
        <v>178</v>
      </c>
      <c r="S42" s="54" t="s">
        <v>178</v>
      </c>
      <c r="T42" s="54" t="s">
        <v>178</v>
      </c>
    </row>
    <row r="43" spans="1:20" x14ac:dyDescent="0.35">
      <c r="O43" t="s">
        <v>60</v>
      </c>
      <c r="P43" s="54">
        <v>-6.8</v>
      </c>
      <c r="Q43" s="54">
        <v>-45.6</v>
      </c>
      <c r="R43" s="54">
        <v>-108.8</v>
      </c>
      <c r="S43" s="54" t="s">
        <v>178</v>
      </c>
      <c r="T43" s="54">
        <v>-10.9</v>
      </c>
    </row>
    <row r="44" spans="1:20" x14ac:dyDescent="0.35">
      <c r="O44" s="9" t="s">
        <v>61</v>
      </c>
      <c r="P44" s="64">
        <v>-83.2</v>
      </c>
      <c r="Q44" s="64">
        <v>-198.9</v>
      </c>
      <c r="R44" s="64">
        <v>-171.6</v>
      </c>
      <c r="S44" s="64">
        <v>-47.5</v>
      </c>
      <c r="T44" s="64">
        <v>75.7</v>
      </c>
    </row>
    <row r="45" spans="1:20" x14ac:dyDescent="0.35">
      <c r="P45" s="54"/>
      <c r="Q45" s="54"/>
      <c r="R45" s="54"/>
      <c r="S45" s="54"/>
      <c r="T45" s="54"/>
    </row>
    <row r="46" spans="1:20" x14ac:dyDescent="0.35">
      <c r="O46" s="9" t="s">
        <v>195</v>
      </c>
      <c r="P46" s="65"/>
      <c r="Q46" s="65"/>
      <c r="R46" s="65"/>
      <c r="S46" s="65"/>
      <c r="T46" s="65"/>
    </row>
    <row r="47" spans="1:20" x14ac:dyDescent="0.35">
      <c r="O47" t="s">
        <v>62</v>
      </c>
      <c r="P47" s="54">
        <v>1</v>
      </c>
      <c r="Q47" s="54">
        <v>-0.4</v>
      </c>
      <c r="R47" s="54">
        <v>-2</v>
      </c>
      <c r="S47" s="54">
        <v>2</v>
      </c>
      <c r="T47" s="54">
        <v>-0.6</v>
      </c>
    </row>
    <row r="48" spans="1:20" x14ac:dyDescent="0.35">
      <c r="O48" t="s">
        <v>63</v>
      </c>
      <c r="P48" s="54">
        <v>266.3</v>
      </c>
      <c r="Q48" s="54">
        <v>-205.5</v>
      </c>
      <c r="R48" s="54">
        <v>-34.4</v>
      </c>
      <c r="S48" s="54">
        <v>-103.1</v>
      </c>
      <c r="T48" s="54">
        <v>391.8</v>
      </c>
    </row>
    <row r="49" spans="15:20" x14ac:dyDescent="0.35">
      <c r="O49" s="9" t="s">
        <v>64</v>
      </c>
      <c r="P49" s="64">
        <v>330.3</v>
      </c>
      <c r="Q49" s="64">
        <v>596.6</v>
      </c>
      <c r="R49" s="64">
        <v>391.1</v>
      </c>
      <c r="S49" s="64">
        <v>356.7</v>
      </c>
      <c r="T49" s="64">
        <v>253.6</v>
      </c>
    </row>
    <row r="50" spans="15:20" x14ac:dyDescent="0.35">
      <c r="O50" t="s">
        <v>196</v>
      </c>
      <c r="P50" s="54">
        <v>330.3</v>
      </c>
      <c r="Q50" s="54">
        <v>597.5</v>
      </c>
      <c r="R50" s="54">
        <v>447.4</v>
      </c>
      <c r="S50" s="54">
        <v>359</v>
      </c>
      <c r="T50" s="54">
        <v>261.3</v>
      </c>
    </row>
    <row r="51" spans="15:20" x14ac:dyDescent="0.35">
      <c r="O51" t="s">
        <v>197</v>
      </c>
      <c r="P51" s="54">
        <v>-0.1</v>
      </c>
      <c r="Q51" s="54">
        <v>-0.9</v>
      </c>
      <c r="R51" s="54">
        <v>-56.4</v>
      </c>
      <c r="S51" s="54">
        <v>-2.2999999999999998</v>
      </c>
      <c r="T51" s="54">
        <v>-7.7</v>
      </c>
    </row>
    <row r="52" spans="15:20" x14ac:dyDescent="0.35">
      <c r="O52" s="9" t="s">
        <v>65</v>
      </c>
      <c r="P52" s="64">
        <v>596.6</v>
      </c>
      <c r="Q52" s="64">
        <v>391.1</v>
      </c>
      <c r="R52" s="64">
        <v>356.7</v>
      </c>
      <c r="S52" s="64">
        <v>253.6</v>
      </c>
      <c r="T52" s="64">
        <v>645.4</v>
      </c>
    </row>
    <row r="53" spans="15:20" x14ac:dyDescent="0.35">
      <c r="O53" t="s">
        <v>198</v>
      </c>
      <c r="P53" s="54">
        <v>597.5</v>
      </c>
      <c r="Q53" s="54">
        <v>447.4</v>
      </c>
      <c r="R53" s="54">
        <v>359</v>
      </c>
      <c r="S53" s="54">
        <v>261.3</v>
      </c>
      <c r="T53" s="54">
        <v>650.79999999999995</v>
      </c>
    </row>
    <row r="54" spans="15:20" x14ac:dyDescent="0.35">
      <c r="O54" t="s">
        <v>199</v>
      </c>
      <c r="P54" s="54">
        <v>-0.9</v>
      </c>
      <c r="Q54" s="54">
        <v>-56.4</v>
      </c>
      <c r="R54" s="54">
        <v>-2.2999999999999998</v>
      </c>
      <c r="S54" s="54">
        <v>-7.7</v>
      </c>
      <c r="T54" s="54">
        <v>-5.4</v>
      </c>
    </row>
    <row r="55" spans="15:20" x14ac:dyDescent="0.35">
      <c r="P55" s="54"/>
      <c r="Q55" s="54"/>
      <c r="R55" s="54"/>
      <c r="S55" s="54"/>
      <c r="T55" s="54"/>
    </row>
  </sheetData>
  <mergeCells count="3">
    <mergeCell ref="A1:F1"/>
    <mergeCell ref="H1:M1"/>
    <mergeCell ref="O1:T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6F4F-E33C-4C18-A2C3-E0B2B4CC25D7}">
  <dimension ref="A2:U42"/>
  <sheetViews>
    <sheetView topLeftCell="A9" zoomScale="37" zoomScaleNormal="303" workbookViewId="0">
      <selection activeCell="R23" sqref="R23"/>
    </sheetView>
  </sheetViews>
  <sheetFormatPr baseColWidth="10" defaultRowHeight="14.5" x14ac:dyDescent="0.35"/>
  <cols>
    <col min="1" max="1" width="20.54296875" customWidth="1"/>
    <col min="2" max="2" width="10.90625" customWidth="1"/>
    <col min="3" max="3" width="12.453125" customWidth="1"/>
    <col min="9" max="9" width="21" customWidth="1"/>
    <col min="10" max="10" width="23" customWidth="1"/>
    <col min="11" max="11" width="14" bestFit="1" customWidth="1"/>
    <col min="12" max="12" width="13.7265625" bestFit="1" customWidth="1"/>
    <col min="13" max="13" width="14" bestFit="1" customWidth="1"/>
    <col min="14" max="14" width="13.453125" bestFit="1" customWidth="1"/>
    <col min="16" max="16" width="18.1796875" customWidth="1"/>
    <col min="21" max="21" width="15.1796875" customWidth="1"/>
  </cols>
  <sheetData>
    <row r="2" spans="1:21" x14ac:dyDescent="0.35">
      <c r="A2" s="92" t="s">
        <v>332</v>
      </c>
      <c r="B2" s="91"/>
      <c r="C2" s="91"/>
      <c r="D2" s="91"/>
      <c r="E2" s="91"/>
      <c r="F2" s="91"/>
      <c r="I2" s="92" t="s">
        <v>333</v>
      </c>
      <c r="J2" s="91"/>
      <c r="K2" s="91"/>
      <c r="L2" s="91"/>
      <c r="M2" s="91"/>
      <c r="N2" s="91"/>
      <c r="P2" s="91" t="s">
        <v>334</v>
      </c>
      <c r="Q2" s="91"/>
      <c r="R2" s="91"/>
      <c r="S2" s="91"/>
      <c r="T2" s="91"/>
      <c r="U2" s="91"/>
    </row>
    <row r="3" spans="1:21" x14ac:dyDescent="0.35">
      <c r="A3" s="5"/>
      <c r="B3" s="5">
        <v>2021</v>
      </c>
      <c r="C3" s="5">
        <v>2022</v>
      </c>
      <c r="D3" s="5">
        <v>2023</v>
      </c>
      <c r="E3" s="5">
        <v>2024</v>
      </c>
      <c r="F3" s="5">
        <v>2025</v>
      </c>
      <c r="I3" s="6"/>
      <c r="J3" s="5">
        <v>2021</v>
      </c>
      <c r="K3" s="5">
        <v>2022</v>
      </c>
      <c r="L3" s="5">
        <v>2023</v>
      </c>
      <c r="M3" s="5">
        <v>2024</v>
      </c>
      <c r="N3" s="5">
        <v>2025</v>
      </c>
      <c r="P3" s="6"/>
      <c r="Q3" s="5">
        <v>2021</v>
      </c>
      <c r="R3" s="5">
        <v>2022</v>
      </c>
      <c r="S3" s="5">
        <v>2023</v>
      </c>
      <c r="T3" s="5">
        <v>2024</v>
      </c>
      <c r="U3" s="5">
        <v>2025</v>
      </c>
    </row>
    <row r="4" spans="1:21" ht="29" x14ac:dyDescent="0.35">
      <c r="A4" s="6" t="s">
        <v>26</v>
      </c>
      <c r="B4" s="59">
        <f>Données!B3</f>
        <v>2933.6</v>
      </c>
      <c r="C4" s="59">
        <f>Données!C3</f>
        <v>3177.2</v>
      </c>
      <c r="D4" s="59">
        <f>Données!D3</f>
        <v>3480.2</v>
      </c>
      <c r="E4" s="59">
        <f>Données!E3</f>
        <v>3926.3</v>
      </c>
      <c r="F4" s="59">
        <f>Données!F3</f>
        <v>3660.2</v>
      </c>
      <c r="I4" s="6" t="s">
        <v>101</v>
      </c>
      <c r="J4" s="57">
        <f>Données!B3</f>
        <v>2933.6</v>
      </c>
      <c r="K4" s="57">
        <f>Données!C3</f>
        <v>3177.2</v>
      </c>
      <c r="L4" s="57">
        <f>Données!D3</f>
        <v>3480.2</v>
      </c>
      <c r="M4" s="57">
        <f>Données!E3</f>
        <v>3926.3</v>
      </c>
      <c r="N4" s="57">
        <f>Données!F3</f>
        <v>3660.2</v>
      </c>
      <c r="P4" s="6" t="s">
        <v>26</v>
      </c>
      <c r="Q4" s="57">
        <f>B4</f>
        <v>2933.6</v>
      </c>
      <c r="R4" s="57">
        <f>C4</f>
        <v>3177.2</v>
      </c>
      <c r="S4" s="57">
        <f>D4</f>
        <v>3480.2</v>
      </c>
      <c r="T4" s="57">
        <f>E4</f>
        <v>3926.3</v>
      </c>
      <c r="U4" s="57">
        <f>F4</f>
        <v>3660.2</v>
      </c>
    </row>
    <row r="5" spans="1:21" x14ac:dyDescent="0.35">
      <c r="A5" s="6" t="s">
        <v>27</v>
      </c>
      <c r="B5" s="61">
        <f>Données!B26</f>
        <v>0.34300000000000003</v>
      </c>
      <c r="C5" s="61">
        <f>Données!C26</f>
        <v>8.3000000000000004E-2</v>
      </c>
      <c r="D5" s="61">
        <f>Données!D26</f>
        <v>9.5000000000000001E-2</v>
      </c>
      <c r="E5" s="61">
        <f>Données!E26</f>
        <v>0.128</v>
      </c>
      <c r="F5" s="61">
        <f>Données!F26</f>
        <v>-6.8000000000000005E-2</v>
      </c>
      <c r="I5" s="6" t="s">
        <v>102</v>
      </c>
      <c r="J5" s="57">
        <f>Données!B28</f>
        <v>952.9</v>
      </c>
      <c r="K5" s="57">
        <f>Données!C28</f>
        <v>1032.3</v>
      </c>
      <c r="L5" s="57">
        <f>Données!D28</f>
        <v>1174.4000000000001</v>
      </c>
      <c r="M5" s="57">
        <f>Données!E28</f>
        <v>1355.2</v>
      </c>
      <c r="N5" s="57">
        <f>Données!F28</f>
        <v>1177.7</v>
      </c>
      <c r="P5" s="6" t="s">
        <v>193</v>
      </c>
      <c r="Q5" s="57">
        <f>Données!B34</f>
        <v>396.9</v>
      </c>
      <c r="R5" s="57">
        <f>Données!C34</f>
        <v>404.7</v>
      </c>
      <c r="S5" s="57">
        <f>Données!D34</f>
        <v>479.59999999999997</v>
      </c>
      <c r="T5" s="57">
        <f>Données!E34</f>
        <v>580.70000000000005</v>
      </c>
      <c r="U5" s="57">
        <f>Données!F34</f>
        <v>411.4</v>
      </c>
    </row>
    <row r="6" spans="1:21" x14ac:dyDescent="0.35">
      <c r="A6" s="6" t="s">
        <v>28</v>
      </c>
      <c r="B6" s="59">
        <f>Données!B13</f>
        <v>358</v>
      </c>
      <c r="C6" s="59">
        <f>Données!C13</f>
        <v>341.2</v>
      </c>
      <c r="D6" s="59">
        <f>Données!D13</f>
        <v>422.7</v>
      </c>
      <c r="E6" s="59">
        <f>Données!E13</f>
        <v>499</v>
      </c>
      <c r="F6" s="59">
        <f>Données!F13</f>
        <v>334.3</v>
      </c>
      <c r="I6" s="6" t="s">
        <v>103</v>
      </c>
      <c r="J6" s="57">
        <f>Données!B27</f>
        <v>1980.7</v>
      </c>
      <c r="K6" s="57">
        <f>Données!C27</f>
        <v>2144.9</v>
      </c>
      <c r="L6" s="57">
        <f>Données!D27</f>
        <v>2305.8000000000002</v>
      </c>
      <c r="M6" s="57">
        <f>Données!E27</f>
        <v>2571.1</v>
      </c>
      <c r="N6" s="57">
        <f>Données!F27</f>
        <v>2482.5</v>
      </c>
      <c r="P6" s="6" t="s">
        <v>239</v>
      </c>
      <c r="Q6" s="7">
        <f>'Tableaux de synthèse'!Q5/'Tableaux de synthèse'!Q4</f>
        <v>0.13529451868011999</v>
      </c>
      <c r="R6" s="7">
        <f>'Tableaux de synthèse'!R5/'Tableaux de synthèse'!R4</f>
        <v>0.1273763061815435</v>
      </c>
      <c r="S6" s="7">
        <f>'Tableaux de synthèse'!S5/'Tableaux de synthèse'!S4</f>
        <v>0.13780817194414113</v>
      </c>
      <c r="T6" s="7">
        <f>'Tableaux de synthèse'!T5/'Tableaux de synthèse'!T4</f>
        <v>0.14790005857932406</v>
      </c>
      <c r="U6" s="7">
        <f>'Tableaux de synthèse'!U5/'Tableaux de synthèse'!U4</f>
        <v>0.11239822960493961</v>
      </c>
    </row>
    <row r="7" spans="1:21" ht="29" x14ac:dyDescent="0.35">
      <c r="A7" s="6" t="s">
        <v>29</v>
      </c>
      <c r="B7" s="60">
        <f>Données!B31</f>
        <v>0.12203436051268067</v>
      </c>
      <c r="C7" s="60">
        <f>Données!C31</f>
        <v>0.10739015485332998</v>
      </c>
      <c r="D7" s="60">
        <f>Données!D31</f>
        <v>0.12145853686569738</v>
      </c>
      <c r="E7" s="60">
        <f>Données!E31</f>
        <v>0.1270916639074956</v>
      </c>
      <c r="F7" s="60">
        <f>Données!F31</f>
        <v>9.133380689579805E-2</v>
      </c>
      <c r="I7" s="6" t="s">
        <v>172</v>
      </c>
      <c r="J7" s="7">
        <f>J6/J4</f>
        <v>0.67517725661303518</v>
      </c>
      <c r="K7" s="7">
        <f t="shared" ref="K7:N7" si="0">K6/K4</f>
        <v>0.6750912753367746</v>
      </c>
      <c r="L7" s="7">
        <f t="shared" si="0"/>
        <v>0.66254812941784968</v>
      </c>
      <c r="M7" s="7">
        <f t="shared" si="0"/>
        <v>0.65484043501515421</v>
      </c>
      <c r="N7" s="7">
        <f t="shared" si="0"/>
        <v>0.67824162614064809</v>
      </c>
      <c r="P7" s="6" t="s">
        <v>28</v>
      </c>
      <c r="Q7" s="57">
        <f>Données!B30</f>
        <v>358</v>
      </c>
      <c r="R7" s="57">
        <f>Données!C30</f>
        <v>341.2</v>
      </c>
      <c r="S7" s="57">
        <f>Données!D30</f>
        <v>422.7</v>
      </c>
      <c r="T7" s="57">
        <f>Données!E30</f>
        <v>499</v>
      </c>
      <c r="U7" s="57">
        <f>Données!F30</f>
        <v>334.3</v>
      </c>
    </row>
    <row r="8" spans="1:21" ht="23" customHeight="1" x14ac:dyDescent="0.35">
      <c r="A8" s="6" t="s">
        <v>22</v>
      </c>
      <c r="B8" s="59">
        <f>Données!B19</f>
        <v>222.9</v>
      </c>
      <c r="C8" s="59">
        <f>Données!C19</f>
        <v>278.5</v>
      </c>
      <c r="D8" s="59">
        <f>Données!D19</f>
        <v>308.3</v>
      </c>
      <c r="E8" s="59">
        <f>Données!E19</f>
        <v>374.5</v>
      </c>
      <c r="F8" s="59">
        <f>Données!F19</f>
        <v>239.4</v>
      </c>
      <c r="I8" s="6" t="s">
        <v>5</v>
      </c>
      <c r="J8" s="7">
        <f>Données!B29</f>
        <v>0.32482274338696482</v>
      </c>
      <c r="K8" s="7">
        <f>Données!C29</f>
        <v>0.32500000000000001</v>
      </c>
      <c r="L8" s="7">
        <f>Données!D29</f>
        <v>0.33700000000000002</v>
      </c>
      <c r="M8" s="7">
        <f>Données!E29</f>
        <v>0.34499999999999997</v>
      </c>
      <c r="N8" s="7">
        <f>Données!F29</f>
        <v>0.32200000000000001</v>
      </c>
      <c r="P8" s="6" t="s">
        <v>29</v>
      </c>
      <c r="Q8" s="7">
        <f>Q7/Q4</f>
        <v>0.12203436051268067</v>
      </c>
      <c r="R8" s="7">
        <f t="shared" ref="R8:U8" si="1">R7/R4</f>
        <v>0.10739015485332998</v>
      </c>
      <c r="S8" s="7">
        <f t="shared" si="1"/>
        <v>0.12145853686569738</v>
      </c>
      <c r="T8" s="7">
        <f t="shared" si="1"/>
        <v>0.1270916639074956</v>
      </c>
      <c r="U8" s="7">
        <f t="shared" si="1"/>
        <v>9.133380689579805E-2</v>
      </c>
    </row>
    <row r="9" spans="1:21" ht="29" x14ac:dyDescent="0.35">
      <c r="A9" s="6" t="s">
        <v>7</v>
      </c>
      <c r="B9" s="60">
        <f>Données!B33</f>
        <v>7.5981728933733297E-2</v>
      </c>
      <c r="C9" s="60">
        <f>Données!C33</f>
        <v>8.7655797557597892E-2</v>
      </c>
      <c r="D9" s="60">
        <f>Données!D33</f>
        <v>8.858686282397564E-2</v>
      </c>
      <c r="E9" s="60">
        <f>Données!E33</f>
        <v>9.5382421108932067E-2</v>
      </c>
      <c r="F9" s="60">
        <f>Données!F33</f>
        <v>6.5406261952898753E-2</v>
      </c>
      <c r="I9" s="6" t="s">
        <v>104</v>
      </c>
      <c r="J9" s="57">
        <f>Données!B11</f>
        <v>357.9</v>
      </c>
      <c r="K9" s="57">
        <f>Données!C11</f>
        <v>342.7</v>
      </c>
      <c r="L9" s="57">
        <f>Données!D11</f>
        <v>423.4</v>
      </c>
      <c r="M9" s="57">
        <f>Données!E11</f>
        <v>500.7</v>
      </c>
      <c r="N9" s="57">
        <f>Données!F11</f>
        <v>335.9</v>
      </c>
    </row>
    <row r="10" spans="1:21" ht="43.5" x14ac:dyDescent="0.35">
      <c r="I10" s="6" t="s">
        <v>105</v>
      </c>
      <c r="J10" s="57">
        <f>J5-J9</f>
        <v>595</v>
      </c>
      <c r="K10" s="57">
        <f>K5-K9</f>
        <v>689.59999999999991</v>
      </c>
      <c r="L10" s="57">
        <f>L5-L9</f>
        <v>751.00000000000011</v>
      </c>
      <c r="M10" s="57">
        <f>M5-M9</f>
        <v>854.5</v>
      </c>
      <c r="N10" s="57">
        <f>N5-N9</f>
        <v>841.80000000000007</v>
      </c>
    </row>
    <row r="11" spans="1:21" x14ac:dyDescent="0.35">
      <c r="A11" s="6" t="s">
        <v>237</v>
      </c>
      <c r="B11" s="72">
        <f>(E4/B4)^(1/3)-1</f>
        <v>0.10203197191564994</v>
      </c>
    </row>
    <row r="12" spans="1:21" x14ac:dyDescent="0.35">
      <c r="A12" s="6" t="s">
        <v>238</v>
      </c>
      <c r="B12" s="7">
        <f>(E4-B4)/B4</f>
        <v>0.33838969184619588</v>
      </c>
      <c r="I12" s="91" t="s">
        <v>335</v>
      </c>
      <c r="J12" s="91"/>
      <c r="K12" s="91"/>
      <c r="L12" s="91"/>
      <c r="M12" s="91"/>
      <c r="N12" s="91"/>
    </row>
    <row r="13" spans="1:21" x14ac:dyDescent="0.35">
      <c r="I13" s="6"/>
      <c r="J13" s="6">
        <v>2021</v>
      </c>
      <c r="K13" s="6">
        <v>2022</v>
      </c>
      <c r="L13" s="6">
        <v>2023</v>
      </c>
      <c r="M13" s="6">
        <v>2024</v>
      </c>
      <c r="N13" s="6">
        <v>2025</v>
      </c>
    </row>
    <row r="14" spans="1:21" x14ac:dyDescent="0.35">
      <c r="A14" s="6"/>
      <c r="B14" s="6" t="s">
        <v>1</v>
      </c>
      <c r="C14" s="6" t="s">
        <v>2</v>
      </c>
      <c r="D14" s="1"/>
      <c r="E14" s="1"/>
      <c r="I14" s="6" t="s">
        <v>10</v>
      </c>
      <c r="J14" s="29">
        <f>Données!I12</f>
        <v>504.2</v>
      </c>
      <c r="K14" s="29">
        <f>Données!J12</f>
        <v>596</v>
      </c>
      <c r="L14" s="29">
        <f>Données!K12</f>
        <v>804.6</v>
      </c>
      <c r="M14" s="29">
        <f>Données!L12</f>
        <v>1068.5</v>
      </c>
      <c r="N14" s="29">
        <f>Données!M12</f>
        <v>899.6</v>
      </c>
    </row>
    <row r="15" spans="1:21" x14ac:dyDescent="0.35">
      <c r="A15" s="16">
        <v>2021</v>
      </c>
      <c r="B15" s="43">
        <f>Données!B34</f>
        <v>396.9</v>
      </c>
      <c r="C15" s="43">
        <f>'Tableaux de synthèse'!B6</f>
        <v>358</v>
      </c>
      <c r="D15" s="2"/>
      <c r="E15" s="30"/>
      <c r="I15" s="6" t="s">
        <v>30</v>
      </c>
      <c r="J15" s="29">
        <f>Données!I13</f>
        <v>206</v>
      </c>
      <c r="K15" s="29">
        <f>Données!J13</f>
        <v>242.1</v>
      </c>
      <c r="L15" s="29">
        <f>Données!K13</f>
        <v>282.7</v>
      </c>
      <c r="M15" s="29">
        <f>Données!L13</f>
        <v>398.9</v>
      </c>
      <c r="N15" s="29">
        <f>Données!M13</f>
        <v>341.6</v>
      </c>
    </row>
    <row r="16" spans="1:21" x14ac:dyDescent="0.35">
      <c r="A16" s="16">
        <v>2022</v>
      </c>
      <c r="B16" s="43">
        <f>Données!C34</f>
        <v>404.7</v>
      </c>
      <c r="C16" s="43">
        <f>C6</f>
        <v>341.2</v>
      </c>
      <c r="D16" s="2"/>
      <c r="E16" s="30"/>
      <c r="I16" s="6" t="s">
        <v>31</v>
      </c>
      <c r="J16" s="29">
        <f>Données!I36</f>
        <v>527.20000000000005</v>
      </c>
      <c r="K16" s="29">
        <f>Données!J36</f>
        <v>404</v>
      </c>
      <c r="L16" s="29">
        <f>Données!K36</f>
        <v>477.9</v>
      </c>
      <c r="M16" s="29">
        <f>Données!L36</f>
        <v>439.1</v>
      </c>
      <c r="N16" s="29">
        <f>Données!M36</f>
        <v>505</v>
      </c>
    </row>
    <row r="17" spans="1:16" x14ac:dyDescent="0.35">
      <c r="A17" s="16">
        <v>2023</v>
      </c>
      <c r="B17" s="43">
        <f>Données!D34</f>
        <v>479.59999999999997</v>
      </c>
      <c r="C17" s="43">
        <f>D6</f>
        <v>422.7</v>
      </c>
      <c r="D17" s="2"/>
      <c r="E17" s="30"/>
      <c r="I17" s="6" t="s">
        <v>21</v>
      </c>
      <c r="J17" s="29">
        <f>J14+J15-J16</f>
        <v>183</v>
      </c>
      <c r="K17" s="29">
        <f t="shared" ref="K17:N17" si="2">K14+K15-K16</f>
        <v>434.1</v>
      </c>
      <c r="L17" s="29">
        <f t="shared" si="2"/>
        <v>609.4</v>
      </c>
      <c r="M17" s="29">
        <f t="shared" si="2"/>
        <v>1028.3000000000002</v>
      </c>
      <c r="N17" s="29">
        <f t="shared" si="2"/>
        <v>736.2</v>
      </c>
      <c r="P17" s="14"/>
    </row>
    <row r="18" spans="1:16" x14ac:dyDescent="0.35">
      <c r="A18" s="16">
        <v>2024</v>
      </c>
      <c r="B18" s="43">
        <f>Données!E34</f>
        <v>580.70000000000005</v>
      </c>
      <c r="C18" s="43">
        <f>E6</f>
        <v>499</v>
      </c>
      <c r="D18" s="2"/>
      <c r="E18" s="30"/>
      <c r="I18" s="6" t="s">
        <v>32</v>
      </c>
      <c r="J18" s="7">
        <f>J17/Données!B3</f>
        <v>6.2380692664303246E-2</v>
      </c>
      <c r="K18" s="7">
        <f>K17/Données!C3</f>
        <v>0.13662973687523608</v>
      </c>
      <c r="L18" s="7">
        <f>L17/Données!D3</f>
        <v>0.17510487902994082</v>
      </c>
      <c r="M18" s="7">
        <f>M17/Données!E3</f>
        <v>0.26190051702620792</v>
      </c>
      <c r="N18" s="7">
        <f>N17/Données!F3</f>
        <v>0.20113654991530519</v>
      </c>
    </row>
    <row r="19" spans="1:16" x14ac:dyDescent="0.35">
      <c r="A19" s="16">
        <v>2025</v>
      </c>
      <c r="B19" s="43">
        <f>Données!F34</f>
        <v>411.4</v>
      </c>
      <c r="C19" s="43">
        <f>F6</f>
        <v>334.3</v>
      </c>
      <c r="D19" s="2"/>
      <c r="E19" s="30"/>
    </row>
    <row r="21" spans="1:16" x14ac:dyDescent="0.35">
      <c r="I21" s="91" t="s">
        <v>336</v>
      </c>
      <c r="J21" s="91"/>
      <c r="K21" s="91"/>
      <c r="L21" s="91"/>
      <c r="M21" s="91"/>
      <c r="N21" s="91"/>
    </row>
    <row r="22" spans="1:16" x14ac:dyDescent="0.35">
      <c r="I22" s="6"/>
      <c r="J22" s="6">
        <v>2021</v>
      </c>
      <c r="K22" s="6">
        <v>2022</v>
      </c>
      <c r="L22" s="6">
        <v>2023</v>
      </c>
      <c r="M22" s="6">
        <v>2024</v>
      </c>
      <c r="N22" s="6">
        <v>2025</v>
      </c>
    </row>
    <row r="23" spans="1:16" x14ac:dyDescent="0.35">
      <c r="I23" s="6" t="s">
        <v>106</v>
      </c>
      <c r="J23" s="27">
        <f>Données!I28</f>
        <v>1177.4000000000001</v>
      </c>
      <c r="K23" s="27">
        <f>Données!J28</f>
        <v>1341.1</v>
      </c>
      <c r="L23" s="27">
        <f>Données!K28</f>
        <v>1605.4</v>
      </c>
      <c r="M23" s="27">
        <f>Données!L28</f>
        <v>1915.1</v>
      </c>
      <c r="N23" s="27">
        <f>Données!M28</f>
        <v>2081.3000000000002</v>
      </c>
    </row>
    <row r="24" spans="1:16" ht="29" x14ac:dyDescent="0.35">
      <c r="I24" s="6" t="s">
        <v>192</v>
      </c>
      <c r="J24" s="27">
        <f>Données!I29+Données!I34</f>
        <v>249.2</v>
      </c>
      <c r="K24" s="27">
        <f>Données!J29+Données!J34</f>
        <v>321.7</v>
      </c>
      <c r="L24" s="27">
        <f>Données!K29+Données!K34</f>
        <v>164.39999999999998</v>
      </c>
      <c r="M24" s="27">
        <f>Données!L29+Données!L34</f>
        <v>216.7</v>
      </c>
      <c r="N24" s="27">
        <f>Données!M29+Données!M34</f>
        <v>371.8</v>
      </c>
    </row>
    <row r="25" spans="1:16" x14ac:dyDescent="0.35">
      <c r="I25" s="6" t="s">
        <v>107</v>
      </c>
      <c r="J25" s="27">
        <f>Données!I16</f>
        <v>597.5</v>
      </c>
      <c r="K25" s="27">
        <f>Données!J16</f>
        <v>447.4</v>
      </c>
      <c r="L25" s="27">
        <f>Données!K16</f>
        <v>359</v>
      </c>
      <c r="M25" s="27">
        <f>Données!L16</f>
        <v>261.3</v>
      </c>
      <c r="N25" s="27">
        <f>Données!M16</f>
        <v>650.79999999999995</v>
      </c>
    </row>
    <row r="26" spans="1:16" x14ac:dyDescent="0.35">
      <c r="I26" s="6" t="s">
        <v>193</v>
      </c>
      <c r="J26" s="27">
        <f>Données!B34</f>
        <v>396.9</v>
      </c>
      <c r="K26" s="27">
        <f>Données!C34</f>
        <v>404.7</v>
      </c>
      <c r="L26" s="27">
        <f>Données!D34</f>
        <v>479.59999999999997</v>
      </c>
      <c r="M26" s="27">
        <f>Données!E34</f>
        <v>580.70000000000005</v>
      </c>
      <c r="N26" s="27">
        <f>Données!F34</f>
        <v>411.4</v>
      </c>
    </row>
    <row r="27" spans="1:16" ht="29" x14ac:dyDescent="0.35">
      <c r="I27" s="6" t="s">
        <v>241</v>
      </c>
      <c r="J27" s="3">
        <f>(J24-J25)/J26</f>
        <v>-0.87755102040816335</v>
      </c>
      <c r="K27" s="3">
        <f t="shared" ref="K27:N27" si="3">(K24-K25)/K26</f>
        <v>-0.31060044477390658</v>
      </c>
      <c r="L27" s="3">
        <f t="shared" si="3"/>
        <v>-0.40575479566305261</v>
      </c>
      <c r="M27" s="3">
        <f t="shared" si="3"/>
        <v>-7.6803857413466542E-2</v>
      </c>
      <c r="N27" s="3">
        <f t="shared" si="3"/>
        <v>-0.67817209528439459</v>
      </c>
    </row>
    <row r="28" spans="1:16" x14ac:dyDescent="0.35">
      <c r="I28" s="6"/>
      <c r="J28" s="3"/>
      <c r="K28" s="3"/>
      <c r="L28" s="3"/>
      <c r="M28" s="3"/>
      <c r="N28" s="3"/>
    </row>
    <row r="29" spans="1:16" x14ac:dyDescent="0.35">
      <c r="I29" s="91" t="s">
        <v>337</v>
      </c>
      <c r="J29" s="91"/>
      <c r="K29" s="91"/>
      <c r="L29" s="91"/>
      <c r="M29" s="91"/>
      <c r="N29" s="91"/>
    </row>
    <row r="30" spans="1:16" x14ac:dyDescent="0.35">
      <c r="I30" s="6"/>
      <c r="J30" s="6">
        <v>2021</v>
      </c>
      <c r="K30" s="6">
        <v>2022</v>
      </c>
      <c r="L30" s="6">
        <v>2023</v>
      </c>
      <c r="M30" s="6">
        <v>2024</v>
      </c>
      <c r="N30" s="6">
        <v>2025</v>
      </c>
    </row>
    <row r="31" spans="1:16" x14ac:dyDescent="0.35">
      <c r="I31" s="6" t="s">
        <v>3</v>
      </c>
      <c r="J31" s="27">
        <f>Données!B19</f>
        <v>222.9</v>
      </c>
      <c r="K31" s="27">
        <f>Données!C19</f>
        <v>278.5</v>
      </c>
      <c r="L31" s="27">
        <f>Données!D19</f>
        <v>308.3</v>
      </c>
      <c r="M31" s="27">
        <f>Données!E19</f>
        <v>374.5</v>
      </c>
      <c r="N31" s="27">
        <f>Données!F19</f>
        <v>239.4</v>
      </c>
    </row>
    <row r="32" spans="1:16" ht="29" x14ac:dyDescent="0.35">
      <c r="I32" s="6" t="s">
        <v>33</v>
      </c>
      <c r="J32" s="3">
        <f>Données!P15</f>
        <v>388.8</v>
      </c>
      <c r="K32" s="3">
        <f>Données!Q15</f>
        <v>171.5</v>
      </c>
      <c r="L32" s="3">
        <f>Données!R15</f>
        <v>201.7</v>
      </c>
      <c r="M32" s="3">
        <f>Données!S15</f>
        <v>40.6</v>
      </c>
      <c r="N32" s="3">
        <f>Données!T15</f>
        <v>563.9</v>
      </c>
    </row>
    <row r="33" spans="9:14" x14ac:dyDescent="0.35">
      <c r="I33" s="6" t="s">
        <v>108</v>
      </c>
      <c r="J33" s="34">
        <f>J32/J31</f>
        <v>1.7442799461641991</v>
      </c>
      <c r="K33" s="34">
        <f t="shared" ref="K33:N33" si="4">K32/K31</f>
        <v>0.61579892280071813</v>
      </c>
      <c r="L33" s="34">
        <f t="shared" si="4"/>
        <v>0.65423289004216667</v>
      </c>
      <c r="M33" s="34">
        <f t="shared" si="4"/>
        <v>0.10841121495327104</v>
      </c>
      <c r="N33" s="34">
        <f t="shared" si="4"/>
        <v>2.3554720133667502</v>
      </c>
    </row>
    <row r="37" spans="9:14" x14ac:dyDescent="0.35">
      <c r="I37" s="6"/>
      <c r="J37" s="68" t="s">
        <v>112</v>
      </c>
    </row>
    <row r="38" spans="9:14" x14ac:dyDescent="0.35">
      <c r="I38" s="6" t="s">
        <v>217</v>
      </c>
      <c r="J38" s="71">
        <v>154.5</v>
      </c>
    </row>
    <row r="39" spans="9:14" x14ac:dyDescent="0.35">
      <c r="I39" s="6" t="s">
        <v>218</v>
      </c>
      <c r="J39" s="69" t="s">
        <v>222</v>
      </c>
    </row>
    <row r="40" spans="9:14" x14ac:dyDescent="0.35">
      <c r="I40" s="6" t="s">
        <v>219</v>
      </c>
      <c r="J40" s="71">
        <f>Valorisation!F17</f>
        <v>219.70895875810646</v>
      </c>
    </row>
    <row r="41" spans="9:14" ht="29" x14ac:dyDescent="0.35">
      <c r="I41" s="6" t="s">
        <v>220</v>
      </c>
      <c r="J41" s="71">
        <f>J40</f>
        <v>219.70895875810646</v>
      </c>
    </row>
    <row r="42" spans="9:14" ht="29" x14ac:dyDescent="0.35">
      <c r="I42" s="6" t="s">
        <v>221</v>
      </c>
      <c r="J42" s="70">
        <f>(J41/J38)-1</f>
        <v>0.42206445798127157</v>
      </c>
    </row>
  </sheetData>
  <mergeCells count="6">
    <mergeCell ref="I29:N29"/>
    <mergeCell ref="A2:F2"/>
    <mergeCell ref="I2:N2"/>
    <mergeCell ref="P2:U2"/>
    <mergeCell ref="I12:N12"/>
    <mergeCell ref="I21:N2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9C31-95AA-4C58-892F-AA84149F90FF}">
  <dimension ref="A1:Y46"/>
  <sheetViews>
    <sheetView topLeftCell="A31" zoomScale="55" zoomScaleNormal="80" workbookViewId="0">
      <selection activeCell="I22" sqref="I22"/>
    </sheetView>
  </sheetViews>
  <sheetFormatPr baseColWidth="10" defaultRowHeight="14.5" x14ac:dyDescent="0.35"/>
  <cols>
    <col min="1" max="1" width="25" customWidth="1"/>
    <col min="2" max="2" width="14" customWidth="1"/>
    <col min="3" max="3" width="14.453125" customWidth="1"/>
    <col min="4" max="4" width="13.90625" customWidth="1"/>
    <col min="7" max="7" width="12" bestFit="1" customWidth="1"/>
    <col min="8" max="8" width="14.81640625" customWidth="1"/>
    <col min="9" max="9" width="13.6328125" customWidth="1"/>
    <col min="10" max="10" width="14.36328125" customWidth="1"/>
    <col min="11" max="11" width="13.81640625" customWidth="1"/>
    <col min="13" max="13" width="19.81640625" customWidth="1"/>
    <col min="20" max="20" width="19.54296875" customWidth="1"/>
  </cols>
  <sheetData>
    <row r="1" spans="1:25" x14ac:dyDescent="0.35">
      <c r="A1" s="91" t="s">
        <v>339</v>
      </c>
      <c r="B1" s="91"/>
      <c r="C1" s="91"/>
      <c r="D1" s="91"/>
      <c r="E1" s="91"/>
      <c r="F1" s="91"/>
      <c r="G1" s="91" t="s">
        <v>141</v>
      </c>
      <c r="H1" s="91"/>
      <c r="I1" s="91"/>
      <c r="J1" s="91"/>
      <c r="K1" s="91"/>
      <c r="N1" s="91" t="s">
        <v>142</v>
      </c>
      <c r="O1" s="91"/>
      <c r="P1" s="91"/>
      <c r="Q1" s="91"/>
      <c r="R1" s="91"/>
      <c r="U1" s="91" t="s">
        <v>143</v>
      </c>
      <c r="V1" s="91"/>
      <c r="W1" s="91"/>
      <c r="X1" s="91"/>
      <c r="Y1" s="91"/>
    </row>
    <row r="2" spans="1:25" x14ac:dyDescent="0.35">
      <c r="A2" s="6"/>
      <c r="B2" s="6">
        <v>2021</v>
      </c>
      <c r="C2" s="6">
        <v>2022</v>
      </c>
      <c r="D2" s="6">
        <v>2023</v>
      </c>
      <c r="E2" s="6">
        <v>2024</v>
      </c>
      <c r="F2" s="6">
        <v>2025</v>
      </c>
      <c r="G2" s="17">
        <v>2026</v>
      </c>
      <c r="H2" s="18">
        <v>2027</v>
      </c>
      <c r="I2" s="18">
        <v>2028</v>
      </c>
      <c r="J2" s="18">
        <v>2029</v>
      </c>
      <c r="K2" s="18">
        <v>2030</v>
      </c>
      <c r="M2" s="6" t="s">
        <v>203</v>
      </c>
      <c r="N2" s="17">
        <v>2026</v>
      </c>
      <c r="O2" s="18">
        <v>2027</v>
      </c>
      <c r="P2" s="18">
        <v>2028</v>
      </c>
      <c r="Q2" s="18">
        <v>2029</v>
      </c>
      <c r="R2" s="18">
        <v>2030</v>
      </c>
      <c r="T2" s="6" t="s">
        <v>17</v>
      </c>
      <c r="U2" s="17">
        <v>2026</v>
      </c>
      <c r="V2" s="18">
        <v>2027</v>
      </c>
      <c r="W2" s="18">
        <v>2028</v>
      </c>
      <c r="X2" s="18">
        <v>2029</v>
      </c>
      <c r="Y2" s="18">
        <v>2030</v>
      </c>
    </row>
    <row r="3" spans="1:25" x14ac:dyDescent="0.35">
      <c r="A3" s="6" t="s">
        <v>37</v>
      </c>
      <c r="B3" s="27">
        <f>Données!B3</f>
        <v>2933.6</v>
      </c>
      <c r="C3" s="27">
        <f>Données!C3</f>
        <v>3177.2</v>
      </c>
      <c r="D3" s="27">
        <f>Données!D3</f>
        <v>3480.2</v>
      </c>
      <c r="E3" s="27">
        <f>Données!E3</f>
        <v>3926.3</v>
      </c>
      <c r="F3" s="27">
        <f>Données!F3</f>
        <v>3660.2</v>
      </c>
      <c r="G3" s="21">
        <f>F3*(1+B22)</f>
        <v>3715.1029999999996</v>
      </c>
      <c r="H3" s="21">
        <f>G3*(1+C22)</f>
        <v>3845.1316049999991</v>
      </c>
      <c r="I3" s="21">
        <f>H3*(1+D22)</f>
        <v>4018.1625272249989</v>
      </c>
      <c r="J3" s="21">
        <f>I3*(1+E22)</f>
        <v>4058.3441524972491</v>
      </c>
      <c r="K3" s="21">
        <f>J3*(1+F22)</f>
        <v>4139.5110355471943</v>
      </c>
      <c r="M3" s="6" t="s">
        <v>37</v>
      </c>
      <c r="N3" s="20">
        <f>F3*(1+B31)</f>
        <v>3550.3939999999998</v>
      </c>
      <c r="O3" s="20">
        <f>N3*(1+C31)</f>
        <v>3479.3861199999997</v>
      </c>
      <c r="P3" s="20">
        <f t="shared" ref="P3:R3" si="0">O3*(1+D31)</f>
        <v>3496.7830505999991</v>
      </c>
      <c r="Q3" s="20">
        <f t="shared" si="0"/>
        <v>3549.2347963589987</v>
      </c>
      <c r="R3" s="20">
        <f t="shared" si="0"/>
        <v>3584.7271443225886</v>
      </c>
      <c r="T3" s="6" t="s">
        <v>37</v>
      </c>
      <c r="U3" s="20">
        <f>F3*(1+B40)</f>
        <v>3770.0059999999999</v>
      </c>
      <c r="V3" s="20">
        <f>U3*(1+C40)</f>
        <v>3977.3563299999996</v>
      </c>
      <c r="W3" s="20">
        <f t="shared" ref="W3:Y3" si="1">V3*(1+D40)</f>
        <v>4215.9977097999999</v>
      </c>
      <c r="X3" s="20">
        <f t="shared" si="1"/>
        <v>4321.3976525449998</v>
      </c>
      <c r="Y3" s="20">
        <f t="shared" si="1"/>
        <v>4407.8256055959</v>
      </c>
    </row>
    <row r="4" spans="1:25" ht="28.5" customHeight="1" x14ac:dyDescent="0.35">
      <c r="A4" s="6" t="s">
        <v>110</v>
      </c>
      <c r="B4" s="27">
        <f>Données!B13</f>
        <v>358</v>
      </c>
      <c r="C4" s="27">
        <f>Données!C13</f>
        <v>341.2</v>
      </c>
      <c r="D4" s="27">
        <f>Données!D13</f>
        <v>422.7</v>
      </c>
      <c r="E4" s="27">
        <f>Données!E13</f>
        <v>499</v>
      </c>
      <c r="F4" s="27">
        <f>Données!F13</f>
        <v>334.3</v>
      </c>
      <c r="G4" s="21">
        <f>G3*B23</f>
        <v>349.21968199999998</v>
      </c>
      <c r="H4" s="21">
        <f>H3*C23</f>
        <v>376.8228972899999</v>
      </c>
      <c r="I4" s="21">
        <f>I3*D23</f>
        <v>413.87074030417489</v>
      </c>
      <c r="J4" s="21">
        <f>J3*E23</f>
        <v>393.65938279223315</v>
      </c>
      <c r="K4" s="21">
        <f>K3*F23</f>
        <v>405.67208148362505</v>
      </c>
      <c r="M4" s="6" t="s">
        <v>110</v>
      </c>
      <c r="N4" s="20">
        <f>N3*B32</f>
        <v>294.68270200000001</v>
      </c>
      <c r="O4" s="20">
        <f>O3*C32</f>
        <v>278.35088959999996</v>
      </c>
      <c r="P4" s="20">
        <f t="shared" ref="P4:R4" si="2">P3*D32</f>
        <v>293.72977625039994</v>
      </c>
      <c r="Q4" s="20">
        <f t="shared" si="2"/>
        <v>308.78342728323287</v>
      </c>
      <c r="R4" s="20">
        <f t="shared" si="2"/>
        <v>308.28653441174259</v>
      </c>
      <c r="T4" s="6" t="s">
        <v>110</v>
      </c>
      <c r="U4" s="20">
        <f>U3*B41</f>
        <v>369.46058799999997</v>
      </c>
      <c r="V4" s="20">
        <f t="shared" ref="V4:Y4" si="3">V3*C41</f>
        <v>413.64505831999992</v>
      </c>
      <c r="W4" s="20">
        <f t="shared" si="3"/>
        <v>455.32775265840002</v>
      </c>
      <c r="X4" s="20">
        <f t="shared" si="3"/>
        <v>449.42535586467994</v>
      </c>
      <c r="Y4" s="20">
        <f t="shared" si="3"/>
        <v>449.59821177078175</v>
      </c>
    </row>
    <row r="5" spans="1:25" ht="16.5" customHeight="1" x14ac:dyDescent="0.35">
      <c r="A5" s="6" t="s">
        <v>109</v>
      </c>
      <c r="B5" s="28">
        <v>0.25</v>
      </c>
      <c r="C5" s="28">
        <v>0.25</v>
      </c>
      <c r="D5" s="28">
        <v>0.25</v>
      </c>
      <c r="E5" s="28">
        <v>0.25</v>
      </c>
      <c r="F5" s="28">
        <v>0.25</v>
      </c>
      <c r="G5" s="21">
        <v>0.25</v>
      </c>
      <c r="H5" s="21">
        <v>0.25</v>
      </c>
      <c r="I5" s="21">
        <v>0.25</v>
      </c>
      <c r="J5" s="21">
        <v>0.25</v>
      </c>
      <c r="K5" s="21">
        <v>0.25</v>
      </c>
      <c r="M5" s="6" t="s">
        <v>109</v>
      </c>
      <c r="N5" s="19">
        <v>0.25</v>
      </c>
      <c r="O5" s="19">
        <v>0.25</v>
      </c>
      <c r="P5" s="19">
        <v>0.25</v>
      </c>
      <c r="Q5" s="19">
        <v>0.25</v>
      </c>
      <c r="R5" s="19">
        <v>0.25</v>
      </c>
      <c r="T5" s="6" t="s">
        <v>109</v>
      </c>
      <c r="U5" s="19">
        <v>0.25</v>
      </c>
      <c r="V5" s="19">
        <v>0.25</v>
      </c>
      <c r="W5" s="19">
        <v>0.25</v>
      </c>
      <c r="X5" s="19">
        <v>0.25</v>
      </c>
      <c r="Y5" s="19">
        <v>0.25</v>
      </c>
    </row>
    <row r="6" spans="1:25" ht="22" customHeight="1" x14ac:dyDescent="0.35">
      <c r="A6" s="6" t="s">
        <v>38</v>
      </c>
      <c r="B6" s="8">
        <f>B4*(1-B5)</f>
        <v>268.5</v>
      </c>
      <c r="C6" s="8">
        <f t="shared" ref="C6:K6" si="4">C4*(1-C5)</f>
        <v>255.89999999999998</v>
      </c>
      <c r="D6" s="8">
        <f t="shared" si="4"/>
        <v>317.02499999999998</v>
      </c>
      <c r="E6" s="8">
        <f t="shared" si="4"/>
        <v>374.25</v>
      </c>
      <c r="F6" s="8">
        <f>F4*(1-F5)</f>
        <v>250.72500000000002</v>
      </c>
      <c r="G6" s="67">
        <f t="shared" si="4"/>
        <v>261.9147615</v>
      </c>
      <c r="H6" s="67">
        <f t="shared" si="4"/>
        <v>282.61717296749993</v>
      </c>
      <c r="I6" s="67">
        <f t="shared" si="4"/>
        <v>310.40305522813117</v>
      </c>
      <c r="J6" s="67">
        <f t="shared" si="4"/>
        <v>295.24453709417486</v>
      </c>
      <c r="K6" s="67">
        <f t="shared" si="4"/>
        <v>304.25406111271877</v>
      </c>
      <c r="M6" s="6" t="s">
        <v>38</v>
      </c>
      <c r="N6" s="67">
        <f>N4*(1-N5)</f>
        <v>221.01202649999999</v>
      </c>
      <c r="O6" s="67">
        <f>O4*(1-O5)</f>
        <v>208.76316719999997</v>
      </c>
      <c r="P6" s="67">
        <f t="shared" ref="P6:R6" si="5">P4*(1-P5)</f>
        <v>220.29733218779995</v>
      </c>
      <c r="Q6" s="67">
        <f t="shared" si="5"/>
        <v>231.58757046242465</v>
      </c>
      <c r="R6" s="67">
        <f t="shared" si="5"/>
        <v>231.21490080880693</v>
      </c>
      <c r="T6" s="6" t="s">
        <v>38</v>
      </c>
      <c r="U6" s="67">
        <f>U4*(1-U5)</f>
        <v>277.09544099999999</v>
      </c>
      <c r="V6" s="67">
        <f t="shared" ref="V6:Y6" si="6">V4*(1-V5)</f>
        <v>310.23379373999995</v>
      </c>
      <c r="W6" s="67">
        <f t="shared" si="6"/>
        <v>341.49581449380003</v>
      </c>
      <c r="X6" s="67">
        <f t="shared" si="6"/>
        <v>337.06901689850997</v>
      </c>
      <c r="Y6" s="67">
        <f t="shared" si="6"/>
        <v>337.19865882808631</v>
      </c>
    </row>
    <row r="7" spans="1:25" ht="43" customHeight="1" x14ac:dyDescent="0.35">
      <c r="A7" s="6" t="s">
        <v>95</v>
      </c>
      <c r="B7" s="27">
        <f>-Données!B10</f>
        <v>39</v>
      </c>
      <c r="C7" s="27">
        <f>-Données!C10</f>
        <v>62</v>
      </c>
      <c r="D7" s="27">
        <f>-Données!D10</f>
        <v>56.2</v>
      </c>
      <c r="E7" s="27">
        <f>-Données!E10</f>
        <v>80</v>
      </c>
      <c r="F7" s="27">
        <f>-Données!F10</f>
        <v>75.5</v>
      </c>
      <c r="G7" s="21">
        <f>G3*B25</f>
        <v>70.586956999999984</v>
      </c>
      <c r="H7" s="21">
        <f>H3*C25</f>
        <v>73.057500494999985</v>
      </c>
      <c r="I7" s="21">
        <f>I3*D25</f>
        <v>76.345088017274975</v>
      </c>
      <c r="J7" s="21">
        <f>J3*E25</f>
        <v>77.10853889744773</v>
      </c>
      <c r="K7" s="21">
        <f>K3*F25</f>
        <v>78.650709675396683</v>
      </c>
      <c r="M7" s="6" t="s">
        <v>95</v>
      </c>
      <c r="N7" s="21">
        <f>N3*B34</f>
        <v>67.457485999999989</v>
      </c>
      <c r="O7" s="21">
        <f>O3*C34</f>
        <v>66.108336279999989</v>
      </c>
      <c r="P7" s="21">
        <f t="shared" ref="P7:Q7" si="7">P3*D34</f>
        <v>66.438877961399982</v>
      </c>
      <c r="Q7" s="21">
        <f t="shared" si="7"/>
        <v>67.435461130820968</v>
      </c>
      <c r="R7" s="21">
        <f>R3*F34</f>
        <v>68.109815742129186</v>
      </c>
      <c r="T7" s="6" t="s">
        <v>95</v>
      </c>
      <c r="U7" s="21">
        <f>U3*B43</f>
        <v>71.630113999999992</v>
      </c>
      <c r="V7" s="21">
        <f t="shared" ref="V7:Y7" si="8">V3*C43</f>
        <v>75.569770269999992</v>
      </c>
      <c r="W7" s="21">
        <f t="shared" si="8"/>
        <v>80.103956486199991</v>
      </c>
      <c r="X7" s="21">
        <f t="shared" si="8"/>
        <v>82.106555398354999</v>
      </c>
      <c r="Y7" s="21">
        <f t="shared" si="8"/>
        <v>83.748686506322102</v>
      </c>
    </row>
    <row r="8" spans="1:25" x14ac:dyDescent="0.35">
      <c r="A8" s="6" t="s">
        <v>150</v>
      </c>
      <c r="B8" s="27">
        <f>-(Données!P17+Données!P18)</f>
        <v>42.6</v>
      </c>
      <c r="C8" s="27">
        <f>-(Données!Q17+Données!Q18)</f>
        <v>78.2</v>
      </c>
      <c r="D8" s="27">
        <f>-(Données!R17+Données!R18)</f>
        <v>57.2</v>
      </c>
      <c r="E8" s="27">
        <f>-(Données!S17+Données!S18)</f>
        <v>60.800000000000004</v>
      </c>
      <c r="F8" s="27">
        <f>-(Données!T17+Données!T18)</f>
        <v>43.2</v>
      </c>
      <c r="G8" s="21">
        <f>G3*B26</f>
        <v>78.017162999999996</v>
      </c>
      <c r="H8" s="21">
        <f t="shared" ref="H8:K8" si="9">H3*C26</f>
        <v>84.592895309999975</v>
      </c>
      <c r="I8" s="21">
        <f t="shared" si="9"/>
        <v>88.399575598949966</v>
      </c>
      <c r="J8" s="21">
        <f t="shared" si="9"/>
        <v>81.166883049944985</v>
      </c>
      <c r="K8" s="21">
        <f t="shared" si="9"/>
        <v>78.650709675396683</v>
      </c>
      <c r="M8" s="6" t="s">
        <v>150</v>
      </c>
      <c r="N8" s="21">
        <f>N3*B35</f>
        <v>65.682288999999997</v>
      </c>
      <c r="O8" s="21">
        <f t="shared" ref="O8:R8" si="10">O3*C35</f>
        <v>64.368643219999996</v>
      </c>
      <c r="P8" s="21">
        <f t="shared" si="10"/>
        <v>66.438877961399982</v>
      </c>
      <c r="Q8" s="21">
        <f t="shared" si="10"/>
        <v>67.435461130820968</v>
      </c>
      <c r="R8" s="21">
        <f t="shared" si="10"/>
        <v>66.317452169967893</v>
      </c>
      <c r="T8" s="6" t="s">
        <v>150</v>
      </c>
      <c r="U8" s="21">
        <f>U3*B44</f>
        <v>82.940131999999991</v>
      </c>
      <c r="V8" s="21">
        <f t="shared" ref="V8:Y8" si="11">V3*C44</f>
        <v>91.479195589999989</v>
      </c>
      <c r="W8" s="21">
        <f t="shared" si="11"/>
        <v>96.96794732539999</v>
      </c>
      <c r="X8" s="21">
        <f t="shared" si="11"/>
        <v>90.749350703445003</v>
      </c>
      <c r="Y8" s="21">
        <f t="shared" si="11"/>
        <v>88.156512111918005</v>
      </c>
    </row>
    <row r="9" spans="1:25" x14ac:dyDescent="0.35">
      <c r="A9" s="6" t="s">
        <v>111</v>
      </c>
      <c r="B9" s="34">
        <f>-Données!P13</f>
        <v>-41.1</v>
      </c>
      <c r="C9" s="34">
        <f>-Données!Q13</f>
        <v>148.6</v>
      </c>
      <c r="D9" s="34">
        <f>-Données!R13</f>
        <v>193.9</v>
      </c>
      <c r="E9" s="34">
        <f>-Données!S13</f>
        <v>382.6</v>
      </c>
      <c r="F9" s="34">
        <f>-Données!T13</f>
        <v>-314.89999999999998</v>
      </c>
      <c r="G9" s="21">
        <f>-('Tableaux de synthèse'!N17-FCFF!B28)</f>
        <v>6.8205999999998994</v>
      </c>
      <c r="H9" s="21">
        <f>-(B28-C28)</f>
        <v>45.231379024999796</v>
      </c>
      <c r="I9" s="21">
        <f t="shared" ref="I9:K9" si="12">-(C28-D28)</f>
        <v>35.471339056124975</v>
      </c>
      <c r="J9" s="21">
        <f t="shared" si="12"/>
        <v>-20.171175886669403</v>
      </c>
      <c r="K9" s="21">
        <f t="shared" si="12"/>
        <v>3.6525097372475557</v>
      </c>
      <c r="M9" s="6" t="s">
        <v>111</v>
      </c>
      <c r="N9" s="21">
        <f>-('Tableaux de synthèse'!N17-FCFF!B37)</f>
        <v>9.3827399999998988</v>
      </c>
      <c r="O9" s="21">
        <f>-(B37-C37)</f>
        <v>19.882206399999973</v>
      </c>
      <c r="P9" s="21">
        <f t="shared" ref="P9:R9" si="13">-(C37-D37)</f>
        <v>-13.656590521000112</v>
      </c>
      <c r="Q9" s="21">
        <f t="shared" si="13"/>
        <v>-6.4690486436101082</v>
      </c>
      <c r="R9" s="21">
        <f t="shared" si="13"/>
        <v>-10.470242649259035</v>
      </c>
      <c r="T9" s="6" t="s">
        <v>111</v>
      </c>
      <c r="U9" s="34">
        <f>-('Tableaux de synthèse'!N17-FCFF!B46)</f>
        <v>-1.0488300000000663</v>
      </c>
      <c r="V9" s="34">
        <f>-(B46-C46)</f>
        <v>52.365383339999994</v>
      </c>
      <c r="W9" s="34">
        <f t="shared" ref="W9:Y9" si="14">-(C46-D46)</f>
        <v>47.250993200400103</v>
      </c>
      <c r="X9" s="34">
        <f t="shared" si="14"/>
        <v>-5.0591972517601107</v>
      </c>
      <c r="Y9" s="34">
        <f t="shared" si="14"/>
        <v>7.7785157745810238</v>
      </c>
    </row>
    <row r="10" spans="1:25" x14ac:dyDescent="0.35">
      <c r="A10" s="6" t="s">
        <v>39</v>
      </c>
      <c r="B10" s="22">
        <f>B6+B7-B8-B9</f>
        <v>306</v>
      </c>
      <c r="C10" s="22">
        <f t="shared" ref="C10:F10" si="15">C6+C7-C8-C9</f>
        <v>91.1</v>
      </c>
      <c r="D10" s="22">
        <f t="shared" si="15"/>
        <v>122.12499999999997</v>
      </c>
      <c r="E10" s="22">
        <f t="shared" si="15"/>
        <v>10.849999999999966</v>
      </c>
      <c r="F10" s="22">
        <f t="shared" si="15"/>
        <v>597.92499999999995</v>
      </c>
      <c r="G10" s="67">
        <f t="shared" ref="G10" si="16">G6+G7-G8-G9</f>
        <v>247.6639555000001</v>
      </c>
      <c r="H10" s="67">
        <f t="shared" ref="H10" si="17">H6+H7-H8-H9</f>
        <v>225.85039912750017</v>
      </c>
      <c r="I10" s="67">
        <f t="shared" ref="I10" si="18">I6+I7-I8-I9</f>
        <v>262.87722859033119</v>
      </c>
      <c r="J10" s="67">
        <f t="shared" ref="J10" si="19">J6+J7-J8-J9</f>
        <v>311.35736882834698</v>
      </c>
      <c r="K10" s="67">
        <f t="shared" ref="K10" si="20">K6+K7-K8-K9</f>
        <v>300.60155137547122</v>
      </c>
      <c r="M10" s="6" t="s">
        <v>39</v>
      </c>
      <c r="N10" s="67">
        <f>N6+N7-N8-N9</f>
        <v>213.40448350000005</v>
      </c>
      <c r="O10" s="67">
        <f t="shared" ref="O10:R10" si="21">O6+O7-O8-O9</f>
        <v>190.62065385999998</v>
      </c>
      <c r="P10" s="67">
        <f t="shared" si="21"/>
        <v>233.95392270880004</v>
      </c>
      <c r="Q10" s="67">
        <f t="shared" si="21"/>
        <v>238.05661910603476</v>
      </c>
      <c r="R10" s="67">
        <f t="shared" si="21"/>
        <v>243.47750703022723</v>
      </c>
      <c r="T10" s="6" t="s">
        <v>39</v>
      </c>
      <c r="U10" s="67">
        <f>U6+U7-U8-U9</f>
        <v>266.83425300000005</v>
      </c>
      <c r="V10" s="67">
        <f t="shared" ref="V10:Y10" si="22">V6+V7-V8-V9</f>
        <v>241.95898507999993</v>
      </c>
      <c r="W10" s="67">
        <f t="shared" si="22"/>
        <v>277.3808304541999</v>
      </c>
      <c r="X10" s="67">
        <f t="shared" si="22"/>
        <v>333.48541884518011</v>
      </c>
      <c r="Y10" s="67">
        <f t="shared" si="22"/>
        <v>325.01231744790937</v>
      </c>
    </row>
    <row r="13" spans="1:25" x14ac:dyDescent="0.35">
      <c r="A13" s="6" t="s">
        <v>19</v>
      </c>
      <c r="B13" s="6" t="s">
        <v>203</v>
      </c>
      <c r="C13" s="6" t="s">
        <v>16</v>
      </c>
      <c r="D13" s="6" t="s">
        <v>17</v>
      </c>
    </row>
    <row r="14" spans="1:25" x14ac:dyDescent="0.35">
      <c r="A14" s="6" t="s">
        <v>36</v>
      </c>
      <c r="B14" s="3" t="s">
        <v>204</v>
      </c>
      <c r="C14" s="3" t="s">
        <v>205</v>
      </c>
      <c r="D14" s="3" t="s">
        <v>206</v>
      </c>
    </row>
    <row r="15" spans="1:25" x14ac:dyDescent="0.35">
      <c r="A15" s="6" t="s">
        <v>0</v>
      </c>
      <c r="B15" s="3" t="s">
        <v>207</v>
      </c>
      <c r="C15" s="3" t="s">
        <v>208</v>
      </c>
      <c r="D15" s="3" t="s">
        <v>209</v>
      </c>
      <c r="T15" s="52"/>
    </row>
    <row r="16" spans="1:25" x14ac:dyDescent="0.35">
      <c r="A16" s="6" t="s">
        <v>34</v>
      </c>
      <c r="B16" s="28">
        <v>0.25</v>
      </c>
      <c r="C16" s="28">
        <v>0.25</v>
      </c>
      <c r="D16" s="28">
        <v>0.25</v>
      </c>
    </row>
    <row r="17" spans="1:6" x14ac:dyDescent="0.35">
      <c r="A17" s="6" t="s">
        <v>35</v>
      </c>
      <c r="B17" s="28">
        <v>1.9E-2</v>
      </c>
      <c r="C17" s="28">
        <v>1.9E-2</v>
      </c>
      <c r="D17" s="28">
        <v>1.9E-2</v>
      </c>
    </row>
    <row r="18" spans="1:6" x14ac:dyDescent="0.35">
      <c r="A18" s="6" t="s">
        <v>20</v>
      </c>
      <c r="B18" s="3" t="s">
        <v>210</v>
      </c>
      <c r="C18" s="3" t="s">
        <v>211</v>
      </c>
      <c r="D18" s="3" t="s">
        <v>212</v>
      </c>
    </row>
    <row r="19" spans="1:6" x14ac:dyDescent="0.35">
      <c r="A19" s="6" t="s">
        <v>18</v>
      </c>
      <c r="B19" s="3" t="s">
        <v>213</v>
      </c>
      <c r="C19" s="3" t="s">
        <v>214</v>
      </c>
      <c r="D19" s="3" t="s">
        <v>215</v>
      </c>
    </row>
    <row r="21" spans="1:6" x14ac:dyDescent="0.35">
      <c r="A21" s="6" t="s">
        <v>141</v>
      </c>
      <c r="B21" s="6">
        <v>2026</v>
      </c>
      <c r="C21" s="6">
        <v>2027</v>
      </c>
      <c r="D21" s="6">
        <v>2028</v>
      </c>
      <c r="E21" s="6">
        <v>2029</v>
      </c>
      <c r="F21" s="6">
        <v>2030</v>
      </c>
    </row>
    <row r="22" spans="1:6" x14ac:dyDescent="0.35">
      <c r="A22" s="6" t="s">
        <v>36</v>
      </c>
      <c r="B22" s="28">
        <v>1.4999999999999999E-2</v>
      </c>
      <c r="C22" s="28">
        <v>3.5000000000000003E-2</v>
      </c>
      <c r="D22" s="28">
        <v>4.4999999999999998E-2</v>
      </c>
      <c r="E22" s="28">
        <v>0.01</v>
      </c>
      <c r="F22" s="28">
        <v>0.02</v>
      </c>
    </row>
    <row r="23" spans="1:6" x14ac:dyDescent="0.35">
      <c r="A23" s="6" t="s">
        <v>0</v>
      </c>
      <c r="B23" s="28">
        <v>9.4E-2</v>
      </c>
      <c r="C23" s="28">
        <v>9.8000000000000004E-2</v>
      </c>
      <c r="D23" s="28">
        <v>0.10299999999999999</v>
      </c>
      <c r="E23" s="28">
        <v>9.7000000000000003E-2</v>
      </c>
      <c r="F23" s="28">
        <v>9.8000000000000004E-2</v>
      </c>
    </row>
    <row r="24" spans="1:6" x14ac:dyDescent="0.35">
      <c r="A24" s="6" t="s">
        <v>34</v>
      </c>
      <c r="B24" s="28">
        <v>0.25</v>
      </c>
      <c r="C24" s="28">
        <v>0.25</v>
      </c>
      <c r="D24" s="28">
        <v>0.25</v>
      </c>
      <c r="E24" s="28">
        <v>0.25</v>
      </c>
      <c r="F24" s="28">
        <v>0.25</v>
      </c>
    </row>
    <row r="25" spans="1:6" x14ac:dyDescent="0.35">
      <c r="A25" s="6" t="s">
        <v>35</v>
      </c>
      <c r="B25" s="28">
        <v>1.9E-2</v>
      </c>
      <c r="C25" s="28">
        <v>1.9E-2</v>
      </c>
      <c r="D25" s="28">
        <v>1.9E-2</v>
      </c>
      <c r="E25" s="28">
        <v>1.9E-2</v>
      </c>
      <c r="F25" s="28">
        <v>1.9E-2</v>
      </c>
    </row>
    <row r="26" spans="1:6" x14ac:dyDescent="0.35">
      <c r="A26" s="6" t="s">
        <v>20</v>
      </c>
      <c r="B26" s="28">
        <v>2.1000000000000001E-2</v>
      </c>
      <c r="C26" s="28">
        <v>2.1999999999999999E-2</v>
      </c>
      <c r="D26" s="28">
        <v>2.1999999999999999E-2</v>
      </c>
      <c r="E26" s="28">
        <v>0.02</v>
      </c>
      <c r="F26" s="28">
        <v>1.9E-2</v>
      </c>
    </row>
    <row r="27" spans="1:6" x14ac:dyDescent="0.35">
      <c r="A27" s="6" t="s">
        <v>18</v>
      </c>
      <c r="B27" s="28">
        <v>0.2</v>
      </c>
      <c r="C27" s="28">
        <v>0.20499999999999999</v>
      </c>
      <c r="D27" s="28">
        <v>0.20499999999999999</v>
      </c>
      <c r="E27" s="28">
        <v>0.19800000000000001</v>
      </c>
      <c r="F27" s="28">
        <v>0.19500000000000001</v>
      </c>
    </row>
    <row r="28" spans="1:6" x14ac:dyDescent="0.35">
      <c r="A28" s="6" t="s">
        <v>18</v>
      </c>
      <c r="B28">
        <f>G3*B27</f>
        <v>743.02059999999994</v>
      </c>
      <c r="C28">
        <f>H3*C27</f>
        <v>788.25197902499974</v>
      </c>
      <c r="D28">
        <f>I3*D27</f>
        <v>823.72331808112472</v>
      </c>
      <c r="E28">
        <f>J3*E27</f>
        <v>803.55214219445531</v>
      </c>
      <c r="F28">
        <f>K3*F27</f>
        <v>807.20465193170287</v>
      </c>
    </row>
    <row r="30" spans="1:6" x14ac:dyDescent="0.35">
      <c r="A30" s="6" t="s">
        <v>142</v>
      </c>
      <c r="B30" s="6">
        <v>2026</v>
      </c>
      <c r="C30" s="6">
        <v>2027</v>
      </c>
      <c r="D30" s="6">
        <v>2028</v>
      </c>
      <c r="E30" s="6">
        <v>2029</v>
      </c>
      <c r="F30" s="6">
        <v>2030</v>
      </c>
    </row>
    <row r="31" spans="1:6" x14ac:dyDescent="0.35">
      <c r="A31" s="6" t="s">
        <v>36</v>
      </c>
      <c r="B31" s="28">
        <v>-0.03</v>
      </c>
      <c r="C31" s="28">
        <v>-0.02</v>
      </c>
      <c r="D31" s="28">
        <v>5.0000000000000001E-3</v>
      </c>
      <c r="E31" s="28">
        <v>1.4999999999999999E-2</v>
      </c>
      <c r="F31" s="28">
        <v>0.01</v>
      </c>
    </row>
    <row r="32" spans="1:6" x14ac:dyDescent="0.35">
      <c r="A32" s="6" t="s">
        <v>0</v>
      </c>
      <c r="B32" s="28">
        <v>8.3000000000000004E-2</v>
      </c>
      <c r="C32" s="28">
        <v>0.08</v>
      </c>
      <c r="D32" s="28">
        <v>8.4000000000000005E-2</v>
      </c>
      <c r="E32" s="28">
        <v>8.6999999999999994E-2</v>
      </c>
      <c r="F32" s="28">
        <v>8.5999999999999993E-2</v>
      </c>
    </row>
    <row r="33" spans="1:11" x14ac:dyDescent="0.35">
      <c r="A33" s="6" t="s">
        <v>34</v>
      </c>
      <c r="B33" s="28">
        <v>0.25</v>
      </c>
      <c r="C33" s="28">
        <v>0.25</v>
      </c>
      <c r="D33" s="28">
        <v>0.25</v>
      </c>
      <c r="E33" s="28">
        <v>0.25</v>
      </c>
      <c r="F33" s="28">
        <v>0.25</v>
      </c>
    </row>
    <row r="34" spans="1:11" x14ac:dyDescent="0.35">
      <c r="A34" s="6" t="s">
        <v>35</v>
      </c>
      <c r="B34" s="28">
        <v>1.9E-2</v>
      </c>
      <c r="C34" s="28">
        <v>1.9E-2</v>
      </c>
      <c r="D34" s="28">
        <v>1.9E-2</v>
      </c>
      <c r="E34" s="28">
        <v>1.9E-2</v>
      </c>
      <c r="F34" s="28">
        <v>1.9E-2</v>
      </c>
    </row>
    <row r="35" spans="1:11" x14ac:dyDescent="0.35">
      <c r="A35" s="6" t="s">
        <v>20</v>
      </c>
      <c r="B35" s="28">
        <v>1.8499999999999999E-2</v>
      </c>
      <c r="C35" s="28">
        <v>1.8499999999999999E-2</v>
      </c>
      <c r="D35" s="28">
        <v>1.9E-2</v>
      </c>
      <c r="E35" s="28">
        <v>1.9E-2</v>
      </c>
      <c r="F35" s="28">
        <v>1.8499999999999999E-2</v>
      </c>
    </row>
    <row r="36" spans="1:11" x14ac:dyDescent="0.35">
      <c r="A36" s="6" t="s">
        <v>18</v>
      </c>
      <c r="B36" s="28">
        <v>0.21</v>
      </c>
      <c r="C36" s="28">
        <v>0.22</v>
      </c>
      <c r="D36" s="28">
        <v>0.215</v>
      </c>
      <c r="E36" s="28">
        <v>0.21</v>
      </c>
      <c r="F36" s="28">
        <v>0.20499999999999999</v>
      </c>
    </row>
    <row r="37" spans="1:11" x14ac:dyDescent="0.35">
      <c r="A37" s="6" t="s">
        <v>21</v>
      </c>
      <c r="B37">
        <f>N3*B36</f>
        <v>745.58273999999994</v>
      </c>
      <c r="C37">
        <f t="shared" ref="C37:E37" si="23">O3*C36</f>
        <v>765.46494639999992</v>
      </c>
      <c r="D37">
        <f t="shared" si="23"/>
        <v>751.80835587899981</v>
      </c>
      <c r="E37">
        <f t="shared" si="23"/>
        <v>745.3393072353897</v>
      </c>
      <c r="F37">
        <f>R3*F36</f>
        <v>734.86906458613066</v>
      </c>
    </row>
    <row r="39" spans="1:11" x14ac:dyDescent="0.35">
      <c r="A39" s="6" t="s">
        <v>143</v>
      </c>
      <c r="B39" s="6">
        <v>2026</v>
      </c>
      <c r="C39" s="6">
        <v>2027</v>
      </c>
      <c r="D39" s="6">
        <v>2028</v>
      </c>
      <c r="E39" s="6">
        <v>2029</v>
      </c>
      <c r="F39" s="6">
        <v>2030</v>
      </c>
    </row>
    <row r="40" spans="1:11" x14ac:dyDescent="0.35">
      <c r="A40" s="6" t="s">
        <v>36</v>
      </c>
      <c r="B40" s="28">
        <v>0.03</v>
      </c>
      <c r="C40" s="28">
        <v>5.5E-2</v>
      </c>
      <c r="D40" s="28">
        <v>0.06</v>
      </c>
      <c r="E40" s="28">
        <v>2.5000000000000001E-2</v>
      </c>
      <c r="F40" s="28">
        <v>0.02</v>
      </c>
      <c r="G40" s="22"/>
      <c r="K40" s="22"/>
    </row>
    <row r="41" spans="1:11" x14ac:dyDescent="0.35">
      <c r="A41" s="6" t="s">
        <v>0</v>
      </c>
      <c r="B41" s="28">
        <v>9.8000000000000004E-2</v>
      </c>
      <c r="C41" s="28">
        <v>0.104</v>
      </c>
      <c r="D41" s="28">
        <v>0.108</v>
      </c>
      <c r="E41" s="28">
        <v>0.104</v>
      </c>
      <c r="F41" s="28">
        <v>0.10199999999999999</v>
      </c>
    </row>
    <row r="42" spans="1:11" x14ac:dyDescent="0.35">
      <c r="A42" s="6" t="s">
        <v>34</v>
      </c>
      <c r="B42" s="28">
        <v>0.25</v>
      </c>
      <c r="C42" s="28">
        <v>0.25</v>
      </c>
      <c r="D42" s="28">
        <v>0.25</v>
      </c>
      <c r="E42" s="28">
        <v>0.25</v>
      </c>
      <c r="F42" s="28">
        <v>0.25</v>
      </c>
    </row>
    <row r="43" spans="1:11" x14ac:dyDescent="0.35">
      <c r="A43" s="6" t="s">
        <v>35</v>
      </c>
      <c r="B43" s="28">
        <v>1.9E-2</v>
      </c>
      <c r="C43" s="28">
        <v>1.9E-2</v>
      </c>
      <c r="D43" s="28">
        <v>1.9E-2</v>
      </c>
      <c r="E43" s="28">
        <v>1.9E-2</v>
      </c>
      <c r="F43" s="28">
        <v>1.9E-2</v>
      </c>
    </row>
    <row r="44" spans="1:11" x14ac:dyDescent="0.35">
      <c r="A44" s="6" t="s">
        <v>20</v>
      </c>
      <c r="B44" s="28">
        <v>2.1999999999999999E-2</v>
      </c>
      <c r="C44" s="28">
        <v>2.3E-2</v>
      </c>
      <c r="D44" s="28">
        <v>2.3E-2</v>
      </c>
      <c r="E44" s="28">
        <v>2.1000000000000001E-2</v>
      </c>
      <c r="F44" s="28">
        <v>0.02</v>
      </c>
    </row>
    <row r="45" spans="1:11" x14ac:dyDescent="0.35">
      <c r="A45" s="6" t="s">
        <v>18</v>
      </c>
      <c r="B45" s="28">
        <v>0.19500000000000001</v>
      </c>
      <c r="C45" s="28">
        <v>0.19800000000000001</v>
      </c>
      <c r="D45" s="28">
        <v>0.19800000000000001</v>
      </c>
      <c r="E45" s="28">
        <v>0.192</v>
      </c>
      <c r="F45" s="28">
        <v>0.19</v>
      </c>
    </row>
    <row r="46" spans="1:11" x14ac:dyDescent="0.35">
      <c r="A46" s="6" t="s">
        <v>21</v>
      </c>
      <c r="B46">
        <f>B45*U3</f>
        <v>735.15116999999998</v>
      </c>
      <c r="C46">
        <f t="shared" ref="C46:F46" si="24">C45*V3</f>
        <v>787.51655333999997</v>
      </c>
      <c r="D46">
        <f>D45*W3</f>
        <v>834.76754654040008</v>
      </c>
      <c r="E46">
        <f t="shared" si="24"/>
        <v>829.70834928863997</v>
      </c>
      <c r="F46">
        <f t="shared" si="24"/>
        <v>837.48686506322099</v>
      </c>
    </row>
  </sheetData>
  <mergeCells count="4">
    <mergeCell ref="G1:K1"/>
    <mergeCell ref="N1:R1"/>
    <mergeCell ref="U1:Y1"/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936C-5BD2-41FA-B7AD-6BD955F54189}">
  <dimension ref="A1:AX51"/>
  <sheetViews>
    <sheetView topLeftCell="E28" zoomScale="54" zoomScaleNormal="54" workbookViewId="0">
      <selection activeCell="D7" sqref="D7"/>
    </sheetView>
  </sheetViews>
  <sheetFormatPr baseColWidth="10" defaultRowHeight="14.5" x14ac:dyDescent="0.35"/>
  <cols>
    <col min="1" max="1" width="24.1796875" customWidth="1"/>
    <col min="2" max="2" width="17.08984375" bestFit="1" customWidth="1"/>
    <col min="3" max="3" width="19.7265625" customWidth="1"/>
    <col min="4" max="4" width="11" bestFit="1" customWidth="1"/>
    <col min="5" max="5" width="18.36328125" customWidth="1"/>
    <col min="6" max="6" width="15.08984375" customWidth="1"/>
    <col min="7" max="7" width="12.54296875" bestFit="1" customWidth="1"/>
    <col min="8" max="10" width="11.54296875" bestFit="1" customWidth="1"/>
    <col min="11" max="11" width="10.90625" style="88"/>
    <col min="13" max="13" width="18.08984375" customWidth="1"/>
    <col min="14" max="14" width="15.26953125" customWidth="1"/>
    <col min="15" max="15" width="12.54296875" bestFit="1" customWidth="1"/>
    <col min="16" max="18" width="11.54296875" bestFit="1" customWidth="1"/>
    <col min="21" max="21" width="18" customWidth="1"/>
    <col min="22" max="22" width="15.81640625" customWidth="1"/>
    <col min="23" max="23" width="12.453125" bestFit="1" customWidth="1"/>
    <col min="24" max="24" width="11.6328125" bestFit="1" customWidth="1"/>
    <col min="25" max="25" width="11.54296875" bestFit="1" customWidth="1"/>
    <col min="26" max="26" width="11.90625" bestFit="1" customWidth="1"/>
    <col min="29" max="29" width="16.90625" customWidth="1"/>
    <col min="30" max="30" width="15.453125" bestFit="1" customWidth="1"/>
    <col min="31" max="31" width="13.1796875" bestFit="1" customWidth="1"/>
    <col min="32" max="32" width="11.6328125" bestFit="1" customWidth="1"/>
    <col min="33" max="34" width="11.54296875" bestFit="1" customWidth="1"/>
    <col min="37" max="37" width="17.90625" customWidth="1"/>
    <col min="38" max="38" width="15.453125" bestFit="1" customWidth="1"/>
    <col min="39" max="39" width="14.1796875" bestFit="1" customWidth="1"/>
    <col min="40" max="42" width="11.90625" bestFit="1" customWidth="1"/>
    <col min="45" max="45" width="18.1796875" customWidth="1"/>
    <col min="46" max="46" width="15.453125" bestFit="1" customWidth="1"/>
    <col min="47" max="47" width="12.453125" bestFit="1" customWidth="1"/>
    <col min="48" max="48" width="11.1796875" bestFit="1" customWidth="1"/>
    <col min="49" max="49" width="11.90625" bestFit="1" customWidth="1"/>
    <col min="50" max="50" width="11.1796875" bestFit="1" customWidth="1"/>
  </cols>
  <sheetData>
    <row r="1" spans="1:50" x14ac:dyDescent="0.35">
      <c r="A1" s="6"/>
      <c r="B1" s="6"/>
      <c r="C1" s="6"/>
      <c r="L1" s="91" t="s">
        <v>338</v>
      </c>
      <c r="M1" s="91"/>
      <c r="N1" s="91"/>
      <c r="O1" s="91"/>
    </row>
    <row r="2" spans="1:50" x14ac:dyDescent="0.35">
      <c r="A2" s="1"/>
      <c r="B2" s="8" t="s">
        <v>112</v>
      </c>
      <c r="E2" s="6" t="s">
        <v>127</v>
      </c>
      <c r="F2" s="3">
        <v>2026</v>
      </c>
      <c r="G2" s="3">
        <v>2027</v>
      </c>
      <c r="H2" s="3">
        <v>2028</v>
      </c>
      <c r="I2" s="3">
        <v>2029</v>
      </c>
      <c r="J2" s="3">
        <v>2030</v>
      </c>
      <c r="K2" s="89"/>
      <c r="M2" s="6" t="s">
        <v>127</v>
      </c>
      <c r="N2" s="3">
        <v>2026</v>
      </c>
      <c r="O2" s="3">
        <v>2027</v>
      </c>
      <c r="P2" s="3">
        <v>2028</v>
      </c>
      <c r="Q2" s="3">
        <v>2029</v>
      </c>
      <c r="R2" s="3">
        <v>2030</v>
      </c>
      <c r="U2" s="6" t="s">
        <v>127</v>
      </c>
      <c r="V2" s="3">
        <v>2026</v>
      </c>
      <c r="W2" s="3">
        <v>2027</v>
      </c>
      <c r="X2" s="3">
        <v>2028</v>
      </c>
      <c r="Y2" s="3">
        <v>2029</v>
      </c>
      <c r="Z2" s="3">
        <v>2030</v>
      </c>
      <c r="AC2" s="6" t="s">
        <v>127</v>
      </c>
      <c r="AD2" s="3">
        <v>2026</v>
      </c>
      <c r="AE2" s="3">
        <v>2027</v>
      </c>
      <c r="AF2" s="3">
        <v>2028</v>
      </c>
      <c r="AG2" s="3">
        <v>2029</v>
      </c>
      <c r="AH2" s="3">
        <v>2030</v>
      </c>
      <c r="AK2" s="6" t="s">
        <v>127</v>
      </c>
      <c r="AL2" s="3">
        <v>2026</v>
      </c>
      <c r="AM2" s="3">
        <v>2027</v>
      </c>
      <c r="AN2" s="3">
        <v>2028</v>
      </c>
      <c r="AO2" s="3">
        <v>2029</v>
      </c>
      <c r="AP2" s="3">
        <v>2030</v>
      </c>
      <c r="AS2" s="6" t="s">
        <v>127</v>
      </c>
      <c r="AT2" s="3">
        <v>2026</v>
      </c>
      <c r="AU2" s="3">
        <v>2027</v>
      </c>
      <c r="AV2" s="3">
        <v>2028</v>
      </c>
      <c r="AW2" s="3">
        <v>2029</v>
      </c>
      <c r="AX2" s="3">
        <v>2030</v>
      </c>
    </row>
    <row r="3" spans="1:50" x14ac:dyDescent="0.35">
      <c r="A3" s="2" t="s">
        <v>113</v>
      </c>
      <c r="B3" s="28">
        <v>3.1921999999999999E-2</v>
      </c>
      <c r="E3" s="6" t="s">
        <v>39</v>
      </c>
      <c r="F3" s="29">
        <f>FCFF!G10</f>
        <v>247.6639555000001</v>
      </c>
      <c r="G3" s="29">
        <f>FCFF!H10</f>
        <v>225.85039912750017</v>
      </c>
      <c r="H3" s="29">
        <f>FCFF!I10</f>
        <v>262.87722859033119</v>
      </c>
      <c r="I3" s="29">
        <f>FCFF!J10</f>
        <v>311.35736882834698</v>
      </c>
      <c r="J3" s="29">
        <f>FCFF!K10</f>
        <v>300.60155137547122</v>
      </c>
      <c r="K3" s="90"/>
      <c r="M3" s="6" t="s">
        <v>39</v>
      </c>
      <c r="N3" s="29">
        <f>F3</f>
        <v>247.6639555000001</v>
      </c>
      <c r="O3" s="29">
        <f t="shared" ref="O3:R3" si="0">G3</f>
        <v>225.85039912750017</v>
      </c>
      <c r="P3" s="29">
        <f t="shared" si="0"/>
        <v>262.87722859033119</v>
      </c>
      <c r="Q3" s="29">
        <f t="shared" si="0"/>
        <v>311.35736882834698</v>
      </c>
      <c r="R3" s="29">
        <f t="shared" si="0"/>
        <v>300.60155137547122</v>
      </c>
      <c r="U3" s="6" t="s">
        <v>39</v>
      </c>
      <c r="V3" s="29">
        <f>N3</f>
        <v>247.6639555000001</v>
      </c>
      <c r="W3" s="29">
        <f t="shared" ref="W3" si="1">O3</f>
        <v>225.85039912750017</v>
      </c>
      <c r="X3" s="29">
        <f t="shared" ref="X3" si="2">P3</f>
        <v>262.87722859033119</v>
      </c>
      <c r="Y3" s="29">
        <f t="shared" ref="Y3" si="3">Q3</f>
        <v>311.35736882834698</v>
      </c>
      <c r="Z3" s="29">
        <f t="shared" ref="Z3" si="4">R3</f>
        <v>300.60155137547122</v>
      </c>
      <c r="AC3" s="6" t="s">
        <v>39</v>
      </c>
      <c r="AD3" s="29">
        <f>V3</f>
        <v>247.6639555000001</v>
      </c>
      <c r="AE3" s="29">
        <f t="shared" ref="AE3" si="5">W3</f>
        <v>225.85039912750017</v>
      </c>
      <c r="AF3" s="29">
        <f t="shared" ref="AF3" si="6">X3</f>
        <v>262.87722859033119</v>
      </c>
      <c r="AG3" s="29">
        <f t="shared" ref="AG3" si="7">Y3</f>
        <v>311.35736882834698</v>
      </c>
      <c r="AH3" s="29">
        <f t="shared" ref="AH3" si="8">Z3</f>
        <v>300.60155137547122</v>
      </c>
      <c r="AK3" s="6" t="s">
        <v>39</v>
      </c>
      <c r="AL3" s="29">
        <f>AD3</f>
        <v>247.6639555000001</v>
      </c>
      <c r="AM3" s="29">
        <f t="shared" ref="AM3" si="9">AE3</f>
        <v>225.85039912750017</v>
      </c>
      <c r="AN3" s="29">
        <f t="shared" ref="AN3" si="10">AF3</f>
        <v>262.87722859033119</v>
      </c>
      <c r="AO3" s="29">
        <f t="shared" ref="AO3" si="11">AG3</f>
        <v>311.35736882834698</v>
      </c>
      <c r="AP3" s="29">
        <f t="shared" ref="AP3" si="12">AH3</f>
        <v>300.60155137547122</v>
      </c>
      <c r="AS3" s="6" t="s">
        <v>39</v>
      </c>
      <c r="AT3" s="29">
        <f>AL3</f>
        <v>247.6639555000001</v>
      </c>
      <c r="AU3" s="29">
        <f t="shared" ref="AU3" si="13">AM3</f>
        <v>225.85039912750017</v>
      </c>
      <c r="AV3" s="29">
        <f t="shared" ref="AV3" si="14">AN3</f>
        <v>262.87722859033119</v>
      </c>
      <c r="AW3" s="29">
        <f t="shared" ref="AW3" si="15">AO3</f>
        <v>311.35736882834698</v>
      </c>
      <c r="AX3" s="29">
        <f t="shared" ref="AX3" si="16">AP3</f>
        <v>300.60155137547122</v>
      </c>
    </row>
    <row r="4" spans="1:50" x14ac:dyDescent="0.35">
      <c r="A4" s="2" t="s">
        <v>114</v>
      </c>
      <c r="B4" s="3">
        <v>1.1910000000000001</v>
      </c>
      <c r="E4" s="6" t="s">
        <v>121</v>
      </c>
      <c r="F4" s="38">
        <f>B15</f>
        <v>8.482807906837643E-2</v>
      </c>
      <c r="G4" s="3"/>
      <c r="H4" s="3"/>
      <c r="I4" s="3"/>
      <c r="J4" s="3"/>
      <c r="K4" s="90"/>
      <c r="M4" s="6" t="s">
        <v>121</v>
      </c>
      <c r="N4" s="38">
        <f>Sensibilité!B4</f>
        <v>7.4999999999999997E-2</v>
      </c>
      <c r="O4" s="3"/>
      <c r="P4" s="3"/>
      <c r="Q4" s="3"/>
      <c r="R4" s="3"/>
      <c r="U4" s="6" t="s">
        <v>121</v>
      </c>
      <c r="V4" s="38">
        <f>Sensibilité!B5</f>
        <v>0.08</v>
      </c>
      <c r="W4" s="3"/>
      <c r="X4" s="3"/>
      <c r="Y4" s="3"/>
      <c r="Z4" s="3"/>
      <c r="AC4" s="6" t="s">
        <v>121</v>
      </c>
      <c r="AD4" s="38">
        <f>Sensibilité!B6</f>
        <v>8.482807906837643E-2</v>
      </c>
      <c r="AE4" s="3"/>
      <c r="AF4" s="3"/>
      <c r="AG4" s="3"/>
      <c r="AH4" s="3"/>
      <c r="AK4" s="6" t="s">
        <v>121</v>
      </c>
      <c r="AL4" s="38">
        <f>Sensibilité!B7</f>
        <v>0.09</v>
      </c>
      <c r="AM4" s="3"/>
      <c r="AN4" s="3"/>
      <c r="AO4" s="3"/>
      <c r="AP4" s="3"/>
      <c r="AS4" s="6" t="s">
        <v>121</v>
      </c>
      <c r="AT4" s="38">
        <f>Sensibilité!B8</f>
        <v>9.5000000000000001E-2</v>
      </c>
      <c r="AU4" s="3"/>
      <c r="AV4" s="3"/>
      <c r="AW4" s="3"/>
      <c r="AX4" s="3"/>
    </row>
    <row r="5" spans="1:50" ht="29" x14ac:dyDescent="0.35">
      <c r="A5" s="2" t="s">
        <v>115</v>
      </c>
      <c r="B5" s="28">
        <v>5.0099999999999999E-2</v>
      </c>
      <c r="E5" s="6" t="s">
        <v>125</v>
      </c>
      <c r="F5" s="2">
        <f>1/(1+F4)^1</f>
        <v>0.92180504846332456</v>
      </c>
      <c r="G5" s="2">
        <f>1/(1+F4)^2</f>
        <v>0.84972454737247216</v>
      </c>
      <c r="H5" s="31">
        <f>1/(1+F4)^3</f>
        <v>0.7832803775711582</v>
      </c>
      <c r="I5" s="31">
        <f>1/(1+F4)^4</f>
        <v>0.72203180640735265</v>
      </c>
      <c r="J5" s="31">
        <f>1/(1+F4)^5</f>
        <v>0.66557256429739142</v>
      </c>
      <c r="K5" s="90"/>
      <c r="M5" s="6" t="s">
        <v>125</v>
      </c>
      <c r="N5" s="2">
        <f>1/(1+N4)^1</f>
        <v>0.93023255813953487</v>
      </c>
      <c r="O5" s="2">
        <f>1/(1+N4)^2</f>
        <v>0.86533261222282321</v>
      </c>
      <c r="P5" s="31">
        <f>1/(1+N4)^3</f>
        <v>0.80496056950960304</v>
      </c>
      <c r="Q5" s="31">
        <f>1/(1+N4)^4</f>
        <v>0.7488005297763749</v>
      </c>
      <c r="R5" s="31">
        <f>1/(1+N4)^5</f>
        <v>0.69655863235011617</v>
      </c>
      <c r="U5" s="6" t="s">
        <v>125</v>
      </c>
      <c r="V5" s="2">
        <f>1/(1+V4)^1</f>
        <v>0.92592592592592582</v>
      </c>
      <c r="W5" s="2">
        <f>1/(1+V4)^2</f>
        <v>0.85733882030178321</v>
      </c>
      <c r="X5" s="31">
        <f>1/(1+V4)^3</f>
        <v>0.79383224102016958</v>
      </c>
      <c r="Y5" s="31">
        <f>1/(1+V4)^4</f>
        <v>0.73502985279645328</v>
      </c>
      <c r="Z5" s="31">
        <f>1/(1+V4)^5</f>
        <v>0.68058319703375303</v>
      </c>
      <c r="AC5" s="6" t="s">
        <v>125</v>
      </c>
      <c r="AD5" s="2">
        <f>1/(1+AD4)^1</f>
        <v>0.92180504846332456</v>
      </c>
      <c r="AE5" s="2">
        <f>1/(1+AD4)^2</f>
        <v>0.84972454737247216</v>
      </c>
      <c r="AF5" s="31">
        <f>1/(1+AD4)^3</f>
        <v>0.7832803775711582</v>
      </c>
      <c r="AG5" s="31">
        <f>1/(1+AD4)^4</f>
        <v>0.72203180640735265</v>
      </c>
      <c r="AH5" s="31">
        <f>1/(1+AD4)^5</f>
        <v>0.66557256429739142</v>
      </c>
      <c r="AK5" s="6" t="s">
        <v>125</v>
      </c>
      <c r="AL5" s="2">
        <f>1/(1+AL4)^1</f>
        <v>0.9174311926605504</v>
      </c>
      <c r="AM5" s="2">
        <f>1/(1+AL4)^2</f>
        <v>0.84167999326655996</v>
      </c>
      <c r="AN5" s="31">
        <f>1/(1+AL4)^3</f>
        <v>0.77218348006106419</v>
      </c>
      <c r="AO5" s="31">
        <f>1/(1+AL4)^4</f>
        <v>0.7084252110651964</v>
      </c>
      <c r="AP5" s="31">
        <f>1/(1+AL4)^5</f>
        <v>0.64993138629834524</v>
      </c>
      <c r="AS5" s="6" t="s">
        <v>125</v>
      </c>
      <c r="AT5" s="2">
        <f>1/(1+AT4)^1</f>
        <v>0.91324200913242015</v>
      </c>
      <c r="AU5" s="2">
        <f>1/(1+AT4)^2</f>
        <v>0.8340109672442193</v>
      </c>
      <c r="AV5" s="31">
        <f>1/(1+AT4)^3</f>
        <v>0.76165385136458386</v>
      </c>
      <c r="AW5" s="31">
        <f>1/(1+AT4)^4</f>
        <v>0.6955742934836382</v>
      </c>
      <c r="AX5" s="31">
        <f>1/(1+AT4)^5</f>
        <v>0.63522766528186136</v>
      </c>
    </row>
    <row r="6" spans="1:50" x14ac:dyDescent="0.35">
      <c r="A6" s="4" t="s">
        <v>116</v>
      </c>
      <c r="B6" s="23">
        <f>B3+B4*B5</f>
        <v>9.1591100000000009E-2</v>
      </c>
      <c r="E6" s="6" t="s">
        <v>126</v>
      </c>
      <c r="F6" s="32">
        <f>F3*F5</f>
        <v>228.29788450229626</v>
      </c>
      <c r="G6" s="32">
        <f t="shared" ref="G6:J6" si="17">G3*G5</f>
        <v>191.91062817250727</v>
      </c>
      <c r="H6" s="32">
        <f t="shared" si="17"/>
        <v>205.90657486509429</v>
      </c>
      <c r="I6" s="32">
        <f t="shared" si="17"/>
        <v>224.80992345337171</v>
      </c>
      <c r="J6" s="32">
        <f t="shared" si="17"/>
        <v>200.07214538074643</v>
      </c>
      <c r="K6" s="90"/>
      <c r="M6" s="6" t="s">
        <v>126</v>
      </c>
      <c r="N6" s="32">
        <f>N3*N5</f>
        <v>230.38507488372102</v>
      </c>
      <c r="O6" s="32">
        <f t="shared" ref="O6:Q6" si="18">O3*O5</f>
        <v>195.43571584856696</v>
      </c>
      <c r="P6" s="32">
        <f t="shared" si="18"/>
        <v>211.60580363717909</v>
      </c>
      <c r="Q6" s="32">
        <f t="shared" si="18"/>
        <v>233.14456272844438</v>
      </c>
      <c r="R6" s="32">
        <f>R3*R5</f>
        <v>209.38660550842141</v>
      </c>
      <c r="U6" s="6" t="s">
        <v>126</v>
      </c>
      <c r="V6" s="32">
        <f>V3*V5</f>
        <v>229.31847731481488</v>
      </c>
      <c r="W6" s="32">
        <f t="shared" ref="W6:Y6" si="19">W3*W5</f>
        <v>193.63031475265788</v>
      </c>
      <c r="X6" s="32">
        <f t="shared" si="19"/>
        <v>208.68041948503401</v>
      </c>
      <c r="Y6" s="32">
        <f t="shared" si="19"/>
        <v>228.85696097699088</v>
      </c>
      <c r="Z6" s="32">
        <f>Z3*Z5</f>
        <v>204.58436486842416</v>
      </c>
      <c r="AC6" s="6" t="s">
        <v>126</v>
      </c>
      <c r="AD6" s="32">
        <f>AD3*AD5</f>
        <v>228.29788450229626</v>
      </c>
      <c r="AE6" s="32">
        <f t="shared" ref="AE6:AG6" si="20">AE3*AE5</f>
        <v>191.91062817250727</v>
      </c>
      <c r="AF6" s="32">
        <f t="shared" si="20"/>
        <v>205.90657486509429</v>
      </c>
      <c r="AG6" s="32">
        <f t="shared" si="20"/>
        <v>224.80992345337171</v>
      </c>
      <c r="AH6" s="32">
        <f>AH3*AH5</f>
        <v>200.07214538074643</v>
      </c>
      <c r="AK6" s="6" t="s">
        <v>126</v>
      </c>
      <c r="AL6" s="32">
        <f>AL3*AL5</f>
        <v>227.21463807339458</v>
      </c>
      <c r="AM6" s="32">
        <f t="shared" ref="AM6:AO6" si="21">AM3*AM5</f>
        <v>190.09376241688423</v>
      </c>
      <c r="AN6" s="32">
        <f t="shared" si="21"/>
        <v>202.98945320168983</v>
      </c>
      <c r="AO6" s="32">
        <f t="shared" si="21"/>
        <v>220.57340972892592</v>
      </c>
      <c r="AP6" s="32">
        <f>AP3*AP5</f>
        <v>195.37038300889324</v>
      </c>
      <c r="AS6" s="6" t="s">
        <v>126</v>
      </c>
      <c r="AT6" s="32">
        <f>AT3*AT5</f>
        <v>226.17712831050238</v>
      </c>
      <c r="AU6" s="32">
        <f t="shared" ref="AU6:AW6" si="22">AU3*AU5</f>
        <v>188.36170982881939</v>
      </c>
      <c r="AV6" s="32">
        <f t="shared" si="22"/>
        <v>200.22145359187385</v>
      </c>
      <c r="AW6" s="32">
        <f t="shared" si="22"/>
        <v>216.572181843702</v>
      </c>
      <c r="AX6" s="32">
        <f>AX3*AX5</f>
        <v>190.95042166034608</v>
      </c>
    </row>
    <row r="7" spans="1:50" x14ac:dyDescent="0.35">
      <c r="A7" s="4" t="s">
        <v>170</v>
      </c>
      <c r="B7" s="48">
        <v>8.8999999999999999E-3</v>
      </c>
      <c r="E7" s="2"/>
      <c r="F7" s="32"/>
      <c r="G7" s="32"/>
      <c r="H7" s="32"/>
      <c r="I7" s="32"/>
      <c r="J7" s="32"/>
      <c r="K7" s="90"/>
      <c r="M7" s="2"/>
      <c r="N7" s="32"/>
      <c r="O7" s="32"/>
      <c r="P7" s="32"/>
      <c r="Q7" s="32"/>
      <c r="R7" s="32"/>
      <c r="U7" s="2"/>
      <c r="V7" s="32"/>
      <c r="W7" s="32"/>
      <c r="X7" s="32"/>
      <c r="Y7" s="32"/>
      <c r="Z7" s="32"/>
      <c r="AC7" s="2"/>
      <c r="AD7" s="32"/>
      <c r="AE7" s="32"/>
      <c r="AF7" s="32"/>
      <c r="AG7" s="32"/>
      <c r="AH7" s="32"/>
      <c r="AK7" s="2"/>
      <c r="AL7" s="32"/>
      <c r="AM7" s="32"/>
      <c r="AN7" s="32"/>
      <c r="AO7" s="32"/>
      <c r="AP7" s="32"/>
      <c r="AS7" s="2"/>
      <c r="AT7" s="32"/>
      <c r="AU7" s="32"/>
      <c r="AV7" s="32"/>
      <c r="AW7" s="32"/>
      <c r="AX7" s="32"/>
    </row>
    <row r="8" spans="1:50" x14ac:dyDescent="0.35">
      <c r="A8" t="s">
        <v>117</v>
      </c>
      <c r="B8" s="7">
        <f>B3+B7</f>
        <v>4.0821999999999997E-2</v>
      </c>
      <c r="E8" s="2"/>
      <c r="F8" s="3"/>
      <c r="G8" s="3"/>
      <c r="H8" s="3"/>
      <c r="I8" s="3"/>
      <c r="J8" s="3"/>
      <c r="K8" s="90"/>
      <c r="M8" s="2"/>
      <c r="N8" s="3"/>
      <c r="O8" s="3"/>
      <c r="P8" s="3"/>
      <c r="Q8" s="3"/>
      <c r="R8" s="3"/>
      <c r="U8" s="2"/>
      <c r="V8" s="3"/>
      <c r="W8" s="3"/>
      <c r="X8" s="3"/>
      <c r="Y8" s="3"/>
      <c r="Z8" s="3"/>
      <c r="AC8" s="2"/>
      <c r="AD8" s="3"/>
      <c r="AE8" s="3"/>
      <c r="AF8" s="3"/>
      <c r="AG8" s="3"/>
      <c r="AH8" s="3"/>
      <c r="AK8" s="2"/>
      <c r="AL8" s="3"/>
      <c r="AM8" s="3"/>
      <c r="AN8" s="3"/>
      <c r="AO8" s="3"/>
      <c r="AP8" s="3"/>
      <c r="AS8" s="2"/>
      <c r="AT8" s="3"/>
      <c r="AU8" s="3"/>
      <c r="AV8" s="3"/>
      <c r="AW8" s="3"/>
      <c r="AX8" s="3"/>
    </row>
    <row r="9" spans="1:50" ht="29" x14ac:dyDescent="0.35">
      <c r="A9" t="s">
        <v>34</v>
      </c>
      <c r="B9" s="24">
        <v>0.25</v>
      </c>
      <c r="E9" s="6" t="s">
        <v>128</v>
      </c>
      <c r="F9" s="27">
        <f>SUM(F6:J6)</f>
        <v>1050.997156374016</v>
      </c>
      <c r="G9" s="3"/>
      <c r="H9" s="3"/>
      <c r="I9" s="3"/>
      <c r="J9" s="3"/>
      <c r="K9" s="90"/>
      <c r="M9" s="6" t="s">
        <v>128</v>
      </c>
      <c r="N9" s="27">
        <f>SUM(N6:R6)</f>
        <v>1079.9577626063328</v>
      </c>
      <c r="O9" s="3"/>
      <c r="P9" s="3"/>
      <c r="Q9" s="3"/>
      <c r="R9" s="3"/>
      <c r="U9" s="6" t="s">
        <v>128</v>
      </c>
      <c r="V9" s="27">
        <f>SUM(V6:Z6)</f>
        <v>1065.070537397922</v>
      </c>
      <c r="W9" s="3"/>
      <c r="X9" s="3"/>
      <c r="Y9" s="3"/>
      <c r="Z9" s="3"/>
      <c r="AC9" s="6" t="s">
        <v>128</v>
      </c>
      <c r="AD9" s="27">
        <f>SUM(AD6:AH6)</f>
        <v>1050.997156374016</v>
      </c>
      <c r="AE9" s="3"/>
      <c r="AF9" s="3"/>
      <c r="AG9" s="3"/>
      <c r="AH9" s="3"/>
      <c r="AK9" s="6" t="s">
        <v>128</v>
      </c>
      <c r="AL9" s="27">
        <f>SUM(AL6:AP6)</f>
        <v>1036.2416464297878</v>
      </c>
      <c r="AM9" s="3"/>
      <c r="AN9" s="3"/>
      <c r="AO9" s="3"/>
      <c r="AP9" s="3"/>
      <c r="AS9" s="6" t="s">
        <v>128</v>
      </c>
      <c r="AT9" s="27">
        <f>SUM(AT6:AX6)</f>
        <v>1022.2828952352436</v>
      </c>
      <c r="AU9" s="3"/>
      <c r="AV9" s="3"/>
      <c r="AW9" s="3"/>
      <c r="AX9" s="3"/>
    </row>
    <row r="10" spans="1:50" ht="29" x14ac:dyDescent="0.35">
      <c r="A10" t="s">
        <v>118</v>
      </c>
      <c r="B10" s="30">
        <f>B8*(1-B9)</f>
        <v>3.0616499999999998E-2</v>
      </c>
      <c r="E10" s="6" t="s">
        <v>122</v>
      </c>
      <c r="F10" s="39">
        <v>1.4999999999999999E-2</v>
      </c>
      <c r="G10" s="3"/>
      <c r="H10" s="3"/>
      <c r="I10" s="3"/>
      <c r="J10" s="3"/>
      <c r="K10" s="90"/>
      <c r="M10" s="6" t="s">
        <v>122</v>
      </c>
      <c r="N10" s="39">
        <v>0.01</v>
      </c>
      <c r="O10" s="3"/>
      <c r="P10" s="3"/>
      <c r="Q10" s="3"/>
      <c r="R10" s="3"/>
      <c r="U10" s="6" t="s">
        <v>122</v>
      </c>
      <c r="V10" s="39">
        <v>0.01</v>
      </c>
      <c r="W10" s="3"/>
      <c r="X10" s="3"/>
      <c r="Y10" s="3"/>
      <c r="Z10" s="3"/>
      <c r="AC10" s="6" t="s">
        <v>122</v>
      </c>
      <c r="AD10" s="39">
        <v>0.01</v>
      </c>
      <c r="AE10" s="3"/>
      <c r="AF10" s="3"/>
      <c r="AG10" s="3"/>
      <c r="AH10" s="3"/>
      <c r="AK10" s="6" t="s">
        <v>122</v>
      </c>
      <c r="AL10" s="39">
        <v>0.01</v>
      </c>
      <c r="AM10" s="3"/>
      <c r="AN10" s="3"/>
      <c r="AO10" s="3"/>
      <c r="AP10" s="3"/>
      <c r="AS10" s="6" t="s">
        <v>122</v>
      </c>
      <c r="AT10" s="39">
        <v>0.01</v>
      </c>
      <c r="AU10" s="3"/>
      <c r="AV10" s="3"/>
      <c r="AW10" s="3"/>
      <c r="AX10" s="3"/>
    </row>
    <row r="11" spans="1:50" x14ac:dyDescent="0.35">
      <c r="A11" t="s">
        <v>171</v>
      </c>
      <c r="B11" s="49">
        <f>154.5*19.29</f>
        <v>2980.3049999999998</v>
      </c>
      <c r="E11" s="6" t="s">
        <v>129</v>
      </c>
      <c r="F11" s="27">
        <f>J3*(1+F10)/(F4-F10)</f>
        <v>4369.4539319538717</v>
      </c>
      <c r="G11" s="3"/>
      <c r="H11" s="3"/>
      <c r="I11" s="3"/>
      <c r="J11" s="3"/>
      <c r="K11" s="90"/>
      <c r="M11" s="6" t="s">
        <v>129</v>
      </c>
      <c r="N11" s="27">
        <f>R3*(1+N10)/(N4-N10)</f>
        <v>4670.8856444496296</v>
      </c>
      <c r="O11" s="3"/>
      <c r="P11" s="3"/>
      <c r="Q11" s="3"/>
      <c r="R11" s="3"/>
      <c r="U11" s="6" t="s">
        <v>129</v>
      </c>
      <c r="V11" s="27">
        <f>Z3*(1+V10)/(V4-V10)</f>
        <v>4337.2509555603701</v>
      </c>
      <c r="W11" s="3"/>
      <c r="X11" s="3"/>
      <c r="Y11" s="3"/>
      <c r="Z11" s="3"/>
      <c r="AC11" s="6" t="s">
        <v>129</v>
      </c>
      <c r="AD11" s="27">
        <f>AH3*(1+AD10)/(AD4-AD10)</f>
        <v>4057.4015886709494</v>
      </c>
      <c r="AE11" s="3"/>
      <c r="AF11" s="3"/>
      <c r="AG11" s="3"/>
      <c r="AH11" s="3"/>
      <c r="AK11" s="6" t="s">
        <v>129</v>
      </c>
      <c r="AL11" s="27">
        <f>AP3*(1+AL10)/(AL4-AL10)</f>
        <v>3795.0945861153241</v>
      </c>
      <c r="AM11" s="3"/>
      <c r="AN11" s="3"/>
      <c r="AO11" s="3"/>
      <c r="AP11" s="3"/>
      <c r="AS11" s="6" t="s">
        <v>129</v>
      </c>
      <c r="AT11" s="27">
        <f>AX3*(1+AT10)/(AT4-AT10)</f>
        <v>3571.8537281085405</v>
      </c>
      <c r="AU11" s="3"/>
      <c r="AV11" s="3"/>
      <c r="AW11" s="3"/>
      <c r="AX11" s="3"/>
    </row>
    <row r="12" spans="1:50" ht="29" x14ac:dyDescent="0.35">
      <c r="A12" t="s">
        <v>202</v>
      </c>
      <c r="B12" s="66">
        <f>Données!M29+Données!M34</f>
        <v>371.8</v>
      </c>
      <c r="E12" s="6" t="s">
        <v>130</v>
      </c>
      <c r="F12" s="27">
        <f>F11/(1+F4)^5</f>
        <v>2908.1886580698579</v>
      </c>
      <c r="G12" s="3"/>
      <c r="H12" s="3"/>
      <c r="I12" s="3"/>
      <c r="J12" s="3"/>
      <c r="K12" s="90"/>
      <c r="M12" s="6" t="s">
        <v>130</v>
      </c>
      <c r="N12" s="27">
        <f>N11/(1+N4)^5</f>
        <v>3253.5457163616247</v>
      </c>
      <c r="O12" s="3"/>
      <c r="P12" s="3"/>
      <c r="Q12" s="3"/>
      <c r="R12" s="3"/>
      <c r="U12" s="6" t="s">
        <v>130</v>
      </c>
      <c r="V12" s="27">
        <f>V11/(1+V4)^5</f>
        <v>2951.8601216729771</v>
      </c>
      <c r="W12" s="3"/>
      <c r="X12" s="3"/>
      <c r="Y12" s="3"/>
      <c r="Z12" s="3"/>
      <c r="AC12" s="6" t="s">
        <v>130</v>
      </c>
      <c r="AD12" s="27">
        <f>AD11/(1+AD4)^5</f>
        <v>2700.4951797560334</v>
      </c>
      <c r="AE12" s="3"/>
      <c r="AF12" s="3"/>
      <c r="AG12" s="3"/>
      <c r="AH12" s="3"/>
      <c r="AK12" s="6" t="s">
        <v>130</v>
      </c>
      <c r="AL12" s="27">
        <f>AL11/(1+AL4)^5</f>
        <v>2466.5510854872773</v>
      </c>
      <c r="AM12" s="3"/>
      <c r="AN12" s="3"/>
      <c r="AO12" s="3"/>
      <c r="AP12" s="3"/>
      <c r="AS12" s="6" t="s">
        <v>130</v>
      </c>
      <c r="AT12" s="27">
        <f>AT11/(1+AT4)^5</f>
        <v>2268.9403044347005</v>
      </c>
      <c r="AU12" s="3"/>
      <c r="AV12" s="3"/>
      <c r="AW12" s="3"/>
      <c r="AX12" s="3"/>
    </row>
    <row r="13" spans="1:50" x14ac:dyDescent="0.35">
      <c r="A13" t="s">
        <v>119</v>
      </c>
      <c r="B13" s="30">
        <f>B11/(B11+B12)</f>
        <v>0.88908461996268007</v>
      </c>
      <c r="E13" s="6" t="s">
        <v>216</v>
      </c>
      <c r="F13" s="43">
        <f>F9+F12</f>
        <v>3959.1858144438738</v>
      </c>
      <c r="G13" s="3"/>
      <c r="H13" s="3"/>
      <c r="I13" s="3"/>
      <c r="J13" s="3"/>
      <c r="K13" s="90"/>
      <c r="M13" s="6" t="s">
        <v>131</v>
      </c>
      <c r="N13" s="43">
        <f>N9+N12</f>
        <v>4333.5034789679576</v>
      </c>
      <c r="O13" s="3"/>
      <c r="P13" s="3"/>
      <c r="Q13" s="3"/>
      <c r="R13" s="3"/>
      <c r="U13" s="6" t="s">
        <v>131</v>
      </c>
      <c r="V13" s="43">
        <f>V9+V12</f>
        <v>4016.9306590708993</v>
      </c>
      <c r="W13" s="3"/>
      <c r="X13" s="3"/>
      <c r="Y13" s="3"/>
      <c r="Z13" s="3"/>
      <c r="AC13" s="6" t="s">
        <v>131</v>
      </c>
      <c r="AD13" s="43">
        <f>AD9+AD12</f>
        <v>3751.4923361300494</v>
      </c>
      <c r="AE13" s="3"/>
      <c r="AF13" s="3"/>
      <c r="AG13" s="3"/>
      <c r="AH13" s="3"/>
      <c r="AK13" s="6" t="s">
        <v>131</v>
      </c>
      <c r="AL13" s="43">
        <f>AL9+AL12</f>
        <v>3502.7927319170649</v>
      </c>
      <c r="AM13" s="3"/>
      <c r="AN13" s="3"/>
      <c r="AO13" s="3"/>
      <c r="AP13" s="3"/>
      <c r="AS13" s="6" t="s">
        <v>131</v>
      </c>
      <c r="AT13" s="43">
        <f>AT9+AT12</f>
        <v>3291.2231996699438</v>
      </c>
      <c r="AU13" s="3"/>
      <c r="AV13" s="3"/>
      <c r="AW13" s="3"/>
      <c r="AX13" s="3"/>
    </row>
    <row r="14" spans="1:50" x14ac:dyDescent="0.35">
      <c r="A14" t="s">
        <v>120</v>
      </c>
      <c r="B14" s="42">
        <f>B12/(B12+B11)</f>
        <v>0.11091538003731984</v>
      </c>
      <c r="E14" s="6" t="s">
        <v>132</v>
      </c>
      <c r="F14" s="66">
        <f>Données!M29+Données!M34-Données!M16</f>
        <v>-278.99999999999994</v>
      </c>
      <c r="G14" s="3"/>
      <c r="H14" s="3"/>
      <c r="I14" s="3"/>
      <c r="J14" s="3"/>
      <c r="K14" s="90"/>
      <c r="M14" s="6" t="s">
        <v>132</v>
      </c>
      <c r="N14" s="44">
        <f>F14</f>
        <v>-278.99999999999994</v>
      </c>
      <c r="O14" s="3"/>
      <c r="P14" s="3"/>
      <c r="Q14" s="3"/>
      <c r="R14" s="3"/>
      <c r="U14" s="6" t="s">
        <v>132</v>
      </c>
      <c r="V14" s="44">
        <f>N14</f>
        <v>-278.99999999999994</v>
      </c>
      <c r="W14" s="3"/>
      <c r="X14" s="3"/>
      <c r="Y14" s="3"/>
      <c r="Z14" s="3"/>
      <c r="AC14" s="6" t="s">
        <v>132</v>
      </c>
      <c r="AD14" s="44">
        <f>V14</f>
        <v>-278.99999999999994</v>
      </c>
      <c r="AE14" s="3"/>
      <c r="AF14" s="3"/>
      <c r="AG14" s="3"/>
      <c r="AH14" s="3"/>
      <c r="AK14" s="6" t="s">
        <v>132</v>
      </c>
      <c r="AL14" s="44">
        <f>AD14</f>
        <v>-278.99999999999994</v>
      </c>
      <c r="AM14" s="3"/>
      <c r="AN14" s="3"/>
      <c r="AO14" s="3"/>
      <c r="AP14" s="3"/>
      <c r="AS14" s="6" t="s">
        <v>132</v>
      </c>
      <c r="AT14" s="44">
        <f>AL14</f>
        <v>-278.99999999999994</v>
      </c>
      <c r="AU14" s="3"/>
      <c r="AV14" s="3"/>
      <c r="AW14" s="3"/>
      <c r="AX14" s="3"/>
    </row>
    <row r="15" spans="1:50" ht="29" x14ac:dyDescent="0.35">
      <c r="A15" s="26" t="s">
        <v>121</v>
      </c>
      <c r="B15" s="33">
        <f>B13*B6+B14*B10</f>
        <v>8.482807906837643E-2</v>
      </c>
      <c r="E15" s="6" t="s">
        <v>171</v>
      </c>
      <c r="F15" s="27">
        <f>F13-F14</f>
        <v>4238.1858144438738</v>
      </c>
      <c r="G15" s="3"/>
      <c r="H15" s="3"/>
      <c r="I15" s="3"/>
      <c r="J15" s="3"/>
      <c r="K15" s="90"/>
      <c r="M15" s="6" t="s">
        <v>133</v>
      </c>
      <c r="N15" s="27">
        <f>N13-N14</f>
        <v>4612.5034789679576</v>
      </c>
      <c r="O15" s="3"/>
      <c r="P15" s="3"/>
      <c r="Q15" s="3"/>
      <c r="R15" s="3"/>
      <c r="U15" s="6" t="s">
        <v>133</v>
      </c>
      <c r="V15" s="27">
        <f>V13-V14</f>
        <v>4295.9306590708993</v>
      </c>
      <c r="W15" s="3"/>
      <c r="X15" s="3"/>
      <c r="Y15" s="3"/>
      <c r="Z15" s="3"/>
      <c r="AC15" s="6" t="s">
        <v>133</v>
      </c>
      <c r="AD15" s="27">
        <f>AD13-AD14</f>
        <v>4030.4923361300494</v>
      </c>
      <c r="AE15" s="3"/>
      <c r="AF15" s="3"/>
      <c r="AG15" s="3"/>
      <c r="AH15" s="3"/>
      <c r="AK15" s="6" t="s">
        <v>133</v>
      </c>
      <c r="AL15" s="27">
        <f>AL13-AL14</f>
        <v>3781.7927319170649</v>
      </c>
      <c r="AM15" s="3"/>
      <c r="AN15" s="3"/>
      <c r="AO15" s="3"/>
      <c r="AP15" s="3"/>
      <c r="AS15" s="6" t="s">
        <v>133</v>
      </c>
      <c r="AT15" s="27">
        <f>AT13-AT14</f>
        <v>3570.2231996699438</v>
      </c>
      <c r="AU15" s="3"/>
      <c r="AV15" s="3"/>
      <c r="AW15" s="3"/>
      <c r="AX15" s="3"/>
    </row>
    <row r="16" spans="1:50" x14ac:dyDescent="0.35">
      <c r="A16" s="26" t="s">
        <v>144</v>
      </c>
      <c r="B16" s="33">
        <v>1.4999999999999999E-2</v>
      </c>
      <c r="E16" s="6" t="s">
        <v>123</v>
      </c>
      <c r="F16" s="27">
        <v>19290000</v>
      </c>
      <c r="G16" s="3"/>
      <c r="H16" s="3"/>
      <c r="I16" s="3"/>
      <c r="J16" s="3"/>
      <c r="K16" s="90"/>
      <c r="M16" s="6" t="s">
        <v>123</v>
      </c>
      <c r="N16" s="27">
        <v>19290000</v>
      </c>
      <c r="O16" s="3"/>
      <c r="P16" s="3"/>
      <c r="Q16" s="3"/>
      <c r="R16" s="3"/>
      <c r="U16" s="6" t="s">
        <v>123</v>
      </c>
      <c r="V16" s="27">
        <v>19290000</v>
      </c>
      <c r="W16" s="3"/>
      <c r="X16" s="3"/>
      <c r="Y16" s="3"/>
      <c r="Z16" s="3"/>
      <c r="AC16" s="6" t="s">
        <v>123</v>
      </c>
      <c r="AD16" s="27">
        <v>19290000</v>
      </c>
      <c r="AE16" s="3"/>
      <c r="AF16" s="3"/>
      <c r="AG16" s="3"/>
      <c r="AH16" s="3"/>
      <c r="AK16" s="6" t="s">
        <v>123</v>
      </c>
      <c r="AL16" s="27">
        <v>19290000</v>
      </c>
      <c r="AM16" s="3"/>
      <c r="AN16" s="3"/>
      <c r="AO16" s="3"/>
      <c r="AP16" s="3"/>
      <c r="AS16" s="6" t="s">
        <v>123</v>
      </c>
      <c r="AT16" s="27">
        <v>19290000</v>
      </c>
      <c r="AU16" s="3"/>
      <c r="AV16" s="3"/>
      <c r="AW16" s="3"/>
      <c r="AX16" s="3"/>
    </row>
    <row r="17" spans="1:50" ht="29" customHeight="1" x14ac:dyDescent="0.35">
      <c r="E17" s="6" t="s">
        <v>134</v>
      </c>
      <c r="F17" s="27">
        <f>F15*1000000/F16</f>
        <v>219.70895875810646</v>
      </c>
      <c r="G17" s="3"/>
      <c r="H17" s="3"/>
      <c r="I17" s="3"/>
      <c r="J17" s="3"/>
      <c r="K17" s="90"/>
      <c r="M17" s="6" t="s">
        <v>134</v>
      </c>
      <c r="N17" s="27">
        <f>N15*1000000/N16</f>
        <v>239.11371067744724</v>
      </c>
      <c r="O17" s="3"/>
      <c r="P17" s="3"/>
      <c r="Q17" s="3"/>
      <c r="R17" s="3"/>
      <c r="U17" s="6" t="s">
        <v>134</v>
      </c>
      <c r="V17" s="27">
        <f>V15*1000000/V16</f>
        <v>222.70247066204763</v>
      </c>
      <c r="W17" s="3"/>
      <c r="X17" s="3"/>
      <c r="Y17" s="3"/>
      <c r="Z17" s="3"/>
      <c r="AC17" s="6" t="s">
        <v>134</v>
      </c>
      <c r="AD17" s="27">
        <f>AD15*1000000/AD16</f>
        <v>208.94205993416534</v>
      </c>
      <c r="AE17" s="3"/>
      <c r="AF17" s="3"/>
      <c r="AG17" s="3"/>
      <c r="AH17" s="3"/>
      <c r="AK17" s="6" t="s">
        <v>134</v>
      </c>
      <c r="AL17" s="27">
        <f>AL15*1000000/AL16</f>
        <v>196.04938993867623</v>
      </c>
      <c r="AM17" s="3"/>
      <c r="AN17" s="3"/>
      <c r="AO17" s="3"/>
      <c r="AP17" s="3"/>
      <c r="AQ17" s="2"/>
      <c r="AS17" s="6" t="s">
        <v>134</v>
      </c>
      <c r="AT17" s="27">
        <f>AT15*1000000/AT16</f>
        <v>185.08155519284313</v>
      </c>
      <c r="AU17" s="3"/>
      <c r="AV17" s="3"/>
      <c r="AW17" s="3"/>
      <c r="AX17" s="3"/>
    </row>
    <row r="18" spans="1:50" x14ac:dyDescent="0.35">
      <c r="A18" s="46"/>
      <c r="E18" s="2"/>
      <c r="F18" s="31"/>
      <c r="G18" s="3"/>
      <c r="H18" s="3"/>
      <c r="I18" s="3"/>
      <c r="J18" s="3"/>
      <c r="K18" s="90"/>
      <c r="M18" s="2"/>
      <c r="N18" s="31"/>
      <c r="O18" s="3"/>
      <c r="P18" s="3"/>
      <c r="Q18" s="3"/>
      <c r="R18" s="3"/>
      <c r="AQ18" s="2"/>
    </row>
    <row r="19" spans="1:50" x14ac:dyDescent="0.35">
      <c r="A19" s="46"/>
    </row>
    <row r="20" spans="1:50" x14ac:dyDescent="0.35">
      <c r="M20" s="6" t="s">
        <v>127</v>
      </c>
      <c r="N20" s="3">
        <v>2026</v>
      </c>
      <c r="O20" s="3">
        <v>2027</v>
      </c>
      <c r="P20" s="3">
        <v>2028</v>
      </c>
      <c r="Q20" s="3">
        <v>2029</v>
      </c>
      <c r="R20" s="3">
        <v>2030</v>
      </c>
      <c r="U20" s="6" t="s">
        <v>127</v>
      </c>
      <c r="V20" s="3">
        <v>2026</v>
      </c>
      <c r="W20" s="3">
        <v>2027</v>
      </c>
      <c r="X20" s="3">
        <v>2028</v>
      </c>
      <c r="Y20" s="3">
        <v>2029</v>
      </c>
      <c r="Z20" s="3">
        <v>2030</v>
      </c>
      <c r="AC20" s="6" t="s">
        <v>127</v>
      </c>
      <c r="AD20" s="3">
        <v>2026</v>
      </c>
      <c r="AE20" s="3">
        <v>2027</v>
      </c>
      <c r="AF20" s="3">
        <v>2028</v>
      </c>
      <c r="AG20" s="3">
        <v>2029</v>
      </c>
      <c r="AH20" s="3">
        <v>2030</v>
      </c>
      <c r="AK20" s="6" t="s">
        <v>127</v>
      </c>
      <c r="AL20" s="3">
        <v>2026</v>
      </c>
      <c r="AM20" s="3">
        <v>2027</v>
      </c>
      <c r="AN20" s="3">
        <v>2028</v>
      </c>
      <c r="AO20" s="3">
        <v>2029</v>
      </c>
      <c r="AP20" s="3">
        <v>2030</v>
      </c>
      <c r="AS20" s="6" t="s">
        <v>127</v>
      </c>
      <c r="AT20" s="3">
        <v>2026</v>
      </c>
      <c r="AU20" s="3">
        <v>2027</v>
      </c>
      <c r="AV20" s="3">
        <v>2028</v>
      </c>
      <c r="AW20" s="3">
        <v>2029</v>
      </c>
      <c r="AX20" s="3">
        <v>2030</v>
      </c>
    </row>
    <row r="21" spans="1:50" x14ac:dyDescent="0.35">
      <c r="M21" s="6" t="s">
        <v>39</v>
      </c>
      <c r="N21" s="29">
        <f>F3</f>
        <v>247.6639555000001</v>
      </c>
      <c r="O21" s="29">
        <f>G3</f>
        <v>225.85039912750017</v>
      </c>
      <c r="P21" s="29">
        <f>H3</f>
        <v>262.87722859033119</v>
      </c>
      <c r="Q21" s="29">
        <f>I3</f>
        <v>311.35736882834698</v>
      </c>
      <c r="R21" s="29">
        <f>J3</f>
        <v>300.60155137547122</v>
      </c>
      <c r="U21" s="6" t="s">
        <v>39</v>
      </c>
      <c r="V21" s="29">
        <f>N21</f>
        <v>247.6639555000001</v>
      </c>
      <c r="W21" s="29">
        <f t="shared" ref="W21:Z21" si="23">O21</f>
        <v>225.85039912750017</v>
      </c>
      <c r="X21" s="29">
        <f t="shared" si="23"/>
        <v>262.87722859033119</v>
      </c>
      <c r="Y21" s="29">
        <f t="shared" si="23"/>
        <v>311.35736882834698</v>
      </c>
      <c r="Z21" s="29">
        <f t="shared" si="23"/>
        <v>300.60155137547122</v>
      </c>
      <c r="AC21" s="6" t="s">
        <v>39</v>
      </c>
      <c r="AD21" s="29">
        <f>V21</f>
        <v>247.6639555000001</v>
      </c>
      <c r="AE21" s="29">
        <f t="shared" ref="AE21" si="24">W21</f>
        <v>225.85039912750017</v>
      </c>
      <c r="AF21" s="29">
        <f t="shared" ref="AF21" si="25">X21</f>
        <v>262.87722859033119</v>
      </c>
      <c r="AG21" s="29">
        <f t="shared" ref="AG21" si="26">Y21</f>
        <v>311.35736882834698</v>
      </c>
      <c r="AH21" s="29">
        <f t="shared" ref="AH21" si="27">Z21</f>
        <v>300.60155137547122</v>
      </c>
      <c r="AK21" s="6" t="s">
        <v>39</v>
      </c>
      <c r="AL21" s="29">
        <f>AD21</f>
        <v>247.6639555000001</v>
      </c>
      <c r="AM21" s="29">
        <f t="shared" ref="AM21" si="28">AE21</f>
        <v>225.85039912750017</v>
      </c>
      <c r="AN21" s="29">
        <f t="shared" ref="AN21" si="29">AF21</f>
        <v>262.87722859033119</v>
      </c>
      <c r="AO21" s="29">
        <f t="shared" ref="AO21" si="30">AG21</f>
        <v>311.35736882834698</v>
      </c>
      <c r="AP21" s="29">
        <f t="shared" ref="AP21" si="31">AH21</f>
        <v>300.60155137547122</v>
      </c>
      <c r="AS21" s="6" t="s">
        <v>39</v>
      </c>
      <c r="AT21" s="29">
        <f>AL21</f>
        <v>247.6639555000001</v>
      </c>
      <c r="AU21" s="29">
        <f t="shared" ref="AU21" si="32">AM21</f>
        <v>225.85039912750017</v>
      </c>
      <c r="AV21" s="29">
        <f t="shared" ref="AV21" si="33">AN21</f>
        <v>262.87722859033119</v>
      </c>
      <c r="AW21" s="29">
        <f t="shared" ref="AW21" si="34">AO21</f>
        <v>311.35736882834698</v>
      </c>
      <c r="AX21" s="29">
        <f t="shared" ref="AX21" si="35">AP21</f>
        <v>300.60155137547122</v>
      </c>
    </row>
    <row r="22" spans="1:50" x14ac:dyDescent="0.35">
      <c r="A22" s="6"/>
      <c r="B22" s="6">
        <v>2026</v>
      </c>
      <c r="C22" s="6">
        <v>2027</v>
      </c>
      <c r="D22" s="6">
        <v>2028</v>
      </c>
      <c r="E22" s="6">
        <v>2029</v>
      </c>
      <c r="F22" s="6">
        <v>2030</v>
      </c>
      <c r="M22" s="6" t="s">
        <v>121</v>
      </c>
      <c r="N22" s="38">
        <f>Sensibilité!B4</f>
        <v>7.4999999999999997E-2</v>
      </c>
      <c r="O22" s="3"/>
      <c r="P22" s="3"/>
      <c r="Q22" s="3"/>
      <c r="R22" s="3"/>
      <c r="U22" s="6" t="s">
        <v>121</v>
      </c>
      <c r="V22" s="38">
        <f>Sensibilité!B5</f>
        <v>0.08</v>
      </c>
      <c r="W22" s="3"/>
      <c r="X22" s="3"/>
      <c r="Y22" s="3"/>
      <c r="Z22" s="3"/>
      <c r="AC22" s="6" t="s">
        <v>121</v>
      </c>
      <c r="AD22" s="38">
        <f>Sensibilité!B7</f>
        <v>0.09</v>
      </c>
      <c r="AE22" s="3"/>
      <c r="AF22" s="3"/>
      <c r="AG22" s="3"/>
      <c r="AH22" s="3"/>
      <c r="AK22" s="6" t="s">
        <v>121</v>
      </c>
      <c r="AL22" s="38">
        <f>Sensibilité!B8</f>
        <v>9.5000000000000001E-2</v>
      </c>
      <c r="AM22" s="3"/>
      <c r="AN22" s="3"/>
      <c r="AO22" s="3"/>
      <c r="AP22" s="3"/>
      <c r="AS22" s="6" t="s">
        <v>121</v>
      </c>
      <c r="AT22" s="38">
        <f>Sensibilité!B4</f>
        <v>7.4999999999999997E-2</v>
      </c>
      <c r="AU22" s="3"/>
      <c r="AV22" s="3"/>
      <c r="AW22" s="3"/>
      <c r="AX22" s="3"/>
    </row>
    <row r="23" spans="1:50" ht="29" x14ac:dyDescent="0.35">
      <c r="A23" s="6" t="s">
        <v>39</v>
      </c>
      <c r="B23" s="29">
        <f>FCFF!G10</f>
        <v>247.6639555000001</v>
      </c>
      <c r="C23" s="29">
        <f>FCFF!H10</f>
        <v>225.85039912750017</v>
      </c>
      <c r="D23" s="29">
        <f>FCFF!I10</f>
        <v>262.87722859033119</v>
      </c>
      <c r="E23" s="29">
        <f>FCFF!J10</f>
        <v>311.35736882834698</v>
      </c>
      <c r="F23" s="29">
        <f>FCFF!K10</f>
        <v>300.60155137547122</v>
      </c>
      <c r="M23" s="6" t="s">
        <v>125</v>
      </c>
      <c r="N23" s="2">
        <f>1/(1+N22)^1</f>
        <v>0.93023255813953487</v>
      </c>
      <c r="O23" s="2">
        <f>1/(1+N22)^2</f>
        <v>0.86533261222282321</v>
      </c>
      <c r="P23" s="31">
        <f>1/(1+N22)^3</f>
        <v>0.80496056950960304</v>
      </c>
      <c r="Q23" s="31">
        <f>1/(1+N22)^4</f>
        <v>0.7488005297763749</v>
      </c>
      <c r="R23" s="31">
        <f>1/(1+N22)^5</f>
        <v>0.69655863235011617</v>
      </c>
      <c r="U23" s="6" t="s">
        <v>125</v>
      </c>
      <c r="V23" s="2">
        <f>1/(1+V22)^1</f>
        <v>0.92592592592592582</v>
      </c>
      <c r="W23" s="2">
        <f>1/(1+V22)^2</f>
        <v>0.85733882030178321</v>
      </c>
      <c r="X23" s="31">
        <f>1/(1+V22)^3</f>
        <v>0.79383224102016958</v>
      </c>
      <c r="Y23" s="31">
        <f>1/(1+V22)^4</f>
        <v>0.73502985279645328</v>
      </c>
      <c r="Z23" s="31">
        <f>1/(1+V22)^5</f>
        <v>0.68058319703375303</v>
      </c>
      <c r="AC23" s="6" t="s">
        <v>125</v>
      </c>
      <c r="AD23" s="2">
        <f>1/(1+AD22)^1</f>
        <v>0.9174311926605504</v>
      </c>
      <c r="AE23" s="2">
        <f>1/(1+AD22)^2</f>
        <v>0.84167999326655996</v>
      </c>
      <c r="AF23" s="31">
        <f>1/(1+AD22)^3</f>
        <v>0.77218348006106419</v>
      </c>
      <c r="AG23" s="31">
        <f>1/(1+AD22)^4</f>
        <v>0.7084252110651964</v>
      </c>
      <c r="AH23" s="31">
        <f>1/(1+AD22)^5</f>
        <v>0.64993138629834524</v>
      </c>
      <c r="AK23" s="6" t="s">
        <v>125</v>
      </c>
      <c r="AL23" s="2">
        <f>1/(1+AL22)^1</f>
        <v>0.91324200913242015</v>
      </c>
      <c r="AM23" s="2">
        <f>1/(1+AL22)^2</f>
        <v>0.8340109672442193</v>
      </c>
      <c r="AN23" s="31">
        <f>1/(1+AL22)^3</f>
        <v>0.76165385136458386</v>
      </c>
      <c r="AO23" s="31">
        <f>1/(1+AL22)^4</f>
        <v>0.6955742934836382</v>
      </c>
      <c r="AP23" s="31">
        <f>1/(1+AL22)^5</f>
        <v>0.63522766528186136</v>
      </c>
      <c r="AS23" s="6" t="s">
        <v>125</v>
      </c>
      <c r="AT23" s="2">
        <f>1/(1+AT22)^1</f>
        <v>0.93023255813953487</v>
      </c>
      <c r="AU23" s="2">
        <f>1/(1+AT22)^2</f>
        <v>0.86533261222282321</v>
      </c>
      <c r="AV23" s="31">
        <f>1/(1+AT22)^3</f>
        <v>0.80496056950960304</v>
      </c>
      <c r="AW23" s="31">
        <f>1/(1+AT22)^4</f>
        <v>0.7488005297763749</v>
      </c>
      <c r="AX23" s="31">
        <f>1/(1+AT22)^5</f>
        <v>0.69655863235011617</v>
      </c>
    </row>
    <row r="24" spans="1:50" x14ac:dyDescent="0.35">
      <c r="A24" s="6" t="s">
        <v>126</v>
      </c>
      <c r="B24">
        <f>F6</f>
        <v>228.29788450229626</v>
      </c>
      <c r="C24">
        <f>G6</f>
        <v>191.91062817250727</v>
      </c>
      <c r="D24">
        <f>H6</f>
        <v>205.90657486509429</v>
      </c>
      <c r="E24">
        <f>I6</f>
        <v>224.80992345337171</v>
      </c>
      <c r="F24">
        <f>J6</f>
        <v>200.07214538074643</v>
      </c>
      <c r="M24" s="6" t="s">
        <v>126</v>
      </c>
      <c r="N24" s="32">
        <f>N21*N23</f>
        <v>230.38507488372102</v>
      </c>
      <c r="O24" s="32">
        <f t="shared" ref="O24:Q24" si="36">O21*O23</f>
        <v>195.43571584856696</v>
      </c>
      <c r="P24" s="32">
        <f t="shared" si="36"/>
        <v>211.60580363717909</v>
      </c>
      <c r="Q24" s="32">
        <f t="shared" si="36"/>
        <v>233.14456272844438</v>
      </c>
      <c r="R24" s="32">
        <f>R21*R23</f>
        <v>209.38660550842141</v>
      </c>
      <c r="U24" s="6" t="s">
        <v>126</v>
      </c>
      <c r="V24" s="32">
        <f>V21*V23</f>
        <v>229.31847731481488</v>
      </c>
      <c r="W24" s="32">
        <f t="shared" ref="W24:Y24" si="37">W21*W23</f>
        <v>193.63031475265788</v>
      </c>
      <c r="X24" s="32">
        <f t="shared" si="37"/>
        <v>208.68041948503401</v>
      </c>
      <c r="Y24" s="32">
        <f t="shared" si="37"/>
        <v>228.85696097699088</v>
      </c>
      <c r="Z24" s="32">
        <f>Z21*Z23</f>
        <v>204.58436486842416</v>
      </c>
      <c r="AC24" s="6" t="s">
        <v>126</v>
      </c>
      <c r="AD24" s="32">
        <f>AD21*AD23</f>
        <v>227.21463807339458</v>
      </c>
      <c r="AE24" s="32">
        <f t="shared" ref="AE24:AG24" si="38">AE21*AE23</f>
        <v>190.09376241688423</v>
      </c>
      <c r="AF24" s="32">
        <f t="shared" si="38"/>
        <v>202.98945320168983</v>
      </c>
      <c r="AG24" s="32">
        <f t="shared" si="38"/>
        <v>220.57340972892592</v>
      </c>
      <c r="AH24" s="32">
        <f>AH21*AH23</f>
        <v>195.37038300889324</v>
      </c>
      <c r="AK24" s="6" t="s">
        <v>126</v>
      </c>
      <c r="AL24" s="32">
        <f>AL21*AL23</f>
        <v>226.17712831050238</v>
      </c>
      <c r="AM24" s="32">
        <f t="shared" ref="AM24:AO24" si="39">AM21*AM23</f>
        <v>188.36170982881939</v>
      </c>
      <c r="AN24" s="32">
        <f t="shared" si="39"/>
        <v>200.22145359187385</v>
      </c>
      <c r="AO24" s="32">
        <f t="shared" si="39"/>
        <v>216.572181843702</v>
      </c>
      <c r="AP24" s="32">
        <f>AP21*AP23</f>
        <v>190.95042166034608</v>
      </c>
      <c r="AS24" s="6" t="s">
        <v>126</v>
      </c>
      <c r="AT24" s="32">
        <f>AT21*AT23</f>
        <v>230.38507488372102</v>
      </c>
      <c r="AU24" s="32">
        <f t="shared" ref="AU24:AW24" si="40">AU21*AU23</f>
        <v>195.43571584856696</v>
      </c>
      <c r="AV24" s="32">
        <f t="shared" si="40"/>
        <v>211.60580363717909</v>
      </c>
      <c r="AW24" s="32">
        <f t="shared" si="40"/>
        <v>233.14456272844438</v>
      </c>
      <c r="AX24" s="32">
        <f>AX21*AX23</f>
        <v>209.38660550842141</v>
      </c>
    </row>
    <row r="25" spans="1:50" x14ac:dyDescent="0.35">
      <c r="M25" s="2"/>
      <c r="N25" s="3"/>
      <c r="O25" s="3"/>
      <c r="P25" s="3"/>
      <c r="Q25" s="3"/>
      <c r="R25" s="3"/>
      <c r="U25" s="2"/>
      <c r="V25" s="3"/>
      <c r="W25" s="3"/>
      <c r="X25" s="3"/>
      <c r="Y25" s="3"/>
      <c r="Z25" s="3"/>
      <c r="AC25" s="2"/>
      <c r="AD25" s="3"/>
      <c r="AE25" s="3"/>
      <c r="AF25" s="3"/>
      <c r="AG25" s="3"/>
      <c r="AH25" s="3"/>
      <c r="AK25" s="2"/>
      <c r="AL25" s="3"/>
      <c r="AM25" s="3"/>
      <c r="AN25" s="3"/>
      <c r="AO25" s="3"/>
      <c r="AP25" s="3"/>
      <c r="AS25" s="2"/>
      <c r="AT25" s="3"/>
      <c r="AU25" s="3"/>
      <c r="AV25" s="3"/>
      <c r="AW25" s="3"/>
      <c r="AX25" s="3"/>
    </row>
    <row r="26" spans="1:50" ht="29" x14ac:dyDescent="0.35">
      <c r="A26" s="50"/>
      <c r="M26" s="6" t="s">
        <v>128</v>
      </c>
      <c r="N26" s="27">
        <f>SUM(N24:R24)</f>
        <v>1079.9577626063328</v>
      </c>
      <c r="O26" s="3"/>
      <c r="P26" s="3"/>
      <c r="Q26" s="3"/>
      <c r="R26" s="3"/>
      <c r="U26" s="6" t="s">
        <v>128</v>
      </c>
      <c r="V26" s="27">
        <f>SUM(V24:Z24)</f>
        <v>1065.070537397922</v>
      </c>
      <c r="W26" s="3"/>
      <c r="X26" s="3"/>
      <c r="Y26" s="3"/>
      <c r="Z26" s="3"/>
      <c r="AC26" s="6" t="s">
        <v>128</v>
      </c>
      <c r="AD26" s="27">
        <f>SUM(AD24:AH24)</f>
        <v>1036.2416464297878</v>
      </c>
      <c r="AE26" s="3"/>
      <c r="AF26" s="3"/>
      <c r="AG26" s="3"/>
      <c r="AH26" s="3"/>
      <c r="AK26" s="6" t="s">
        <v>128</v>
      </c>
      <c r="AL26" s="27">
        <f>SUM(AL24:AP24)</f>
        <v>1022.2828952352436</v>
      </c>
      <c r="AM26" s="3"/>
      <c r="AN26" s="3"/>
      <c r="AO26" s="3"/>
      <c r="AP26" s="3"/>
      <c r="AS26" s="6" t="s">
        <v>128</v>
      </c>
      <c r="AT26" s="27">
        <f>SUM(AT24:AX24)</f>
        <v>1079.9577626063328</v>
      </c>
      <c r="AU26" s="3"/>
      <c r="AV26" s="3"/>
      <c r="AW26" s="3"/>
      <c r="AX26" s="3"/>
    </row>
    <row r="27" spans="1:50" ht="29" x14ac:dyDescent="0.35">
      <c r="M27" s="6" t="s">
        <v>122</v>
      </c>
      <c r="N27" s="39">
        <v>1.4999999999999999E-2</v>
      </c>
      <c r="O27" s="3"/>
      <c r="P27" s="3"/>
      <c r="Q27" s="3"/>
      <c r="R27" s="3"/>
      <c r="U27" s="6" t="s">
        <v>122</v>
      </c>
      <c r="V27" s="39">
        <v>1.4999999999999999E-2</v>
      </c>
      <c r="W27" s="3"/>
      <c r="X27" s="3"/>
      <c r="Y27" s="3"/>
      <c r="Z27" s="3"/>
      <c r="AC27" s="6" t="s">
        <v>122</v>
      </c>
      <c r="AD27" s="39">
        <v>1.4999999999999999E-2</v>
      </c>
      <c r="AE27" s="3"/>
      <c r="AF27" s="3"/>
      <c r="AG27" s="3"/>
      <c r="AH27" s="3"/>
      <c r="AK27" s="6" t="s">
        <v>122</v>
      </c>
      <c r="AL27" s="39">
        <v>1.4999999999999999E-2</v>
      </c>
      <c r="AM27" s="3"/>
      <c r="AN27" s="3"/>
      <c r="AO27" s="3"/>
      <c r="AP27" s="3"/>
      <c r="AS27" s="6" t="s">
        <v>122</v>
      </c>
      <c r="AT27" s="39">
        <v>0.02</v>
      </c>
      <c r="AU27" s="3"/>
      <c r="AV27" s="3"/>
      <c r="AW27" s="3"/>
      <c r="AX27" s="3"/>
    </row>
    <row r="28" spans="1:50" x14ac:dyDescent="0.35">
      <c r="M28" s="6" t="s">
        <v>129</v>
      </c>
      <c r="N28" s="27">
        <f>R21*(1+N27)/(N22-N27)</f>
        <v>5085.1762441017208</v>
      </c>
      <c r="O28" s="3"/>
      <c r="P28" s="3"/>
      <c r="Q28" s="3"/>
      <c r="R28" s="3"/>
      <c r="U28" s="6" t="s">
        <v>129</v>
      </c>
      <c r="V28" s="27">
        <f>Z21*(1+V27)/(V22-V27)</f>
        <v>4694.0088407092808</v>
      </c>
      <c r="W28" s="3"/>
      <c r="X28" s="3"/>
      <c r="Y28" s="3"/>
      <c r="Z28" s="3"/>
      <c r="AC28" s="6" t="s">
        <v>129</v>
      </c>
      <c r="AD28" s="27">
        <f>AH21*(1+AD27)/(AD22-AD27)</f>
        <v>4068.1409952813769</v>
      </c>
      <c r="AE28" s="3"/>
      <c r="AF28" s="3"/>
      <c r="AG28" s="3"/>
      <c r="AH28" s="3"/>
      <c r="AK28" s="6" t="s">
        <v>129</v>
      </c>
      <c r="AL28" s="27">
        <f>AP21*(1+AL27)/(AL22-AL27)</f>
        <v>3813.8821830762909</v>
      </c>
      <c r="AM28" s="3"/>
      <c r="AN28" s="3"/>
      <c r="AO28" s="3"/>
      <c r="AP28" s="3"/>
      <c r="AS28" s="6" t="s">
        <v>129</v>
      </c>
      <c r="AT28" s="27">
        <f>AX21*(1+AT27)/(AT22-AT27)</f>
        <v>5574.7924073269214</v>
      </c>
      <c r="AU28" s="3"/>
      <c r="AV28" s="3"/>
      <c r="AW28" s="3"/>
      <c r="AX28" s="3"/>
    </row>
    <row r="29" spans="1:50" ht="29" x14ac:dyDescent="0.35">
      <c r="A29" s="46"/>
      <c r="M29" s="6" t="s">
        <v>130</v>
      </c>
      <c r="N29" s="27">
        <f>N28/(1+N22)^5</f>
        <v>3542.1234098507953</v>
      </c>
      <c r="O29" s="3"/>
      <c r="P29" s="3"/>
      <c r="Q29" s="3"/>
      <c r="R29" s="3"/>
      <c r="U29" s="6" t="s">
        <v>130</v>
      </c>
      <c r="V29" s="27">
        <f>V28/(1+V22)^5</f>
        <v>3194.6635437146228</v>
      </c>
      <c r="W29" s="3"/>
      <c r="X29" s="3"/>
      <c r="Y29" s="3"/>
      <c r="Z29" s="3"/>
      <c r="AC29" s="6" t="s">
        <v>130</v>
      </c>
      <c r="AD29" s="27">
        <f>AD28/(1+AD22)^5</f>
        <v>2644.0125167203555</v>
      </c>
      <c r="AE29" s="3"/>
      <c r="AF29" s="3"/>
      <c r="AG29" s="3"/>
      <c r="AH29" s="3"/>
      <c r="AK29" s="6" t="s">
        <v>130</v>
      </c>
      <c r="AL29" s="27">
        <f>AL28/(1+AL22)^5</f>
        <v>2422.6834748156407</v>
      </c>
      <c r="AM29" s="3"/>
      <c r="AN29" s="3"/>
      <c r="AO29" s="3"/>
      <c r="AP29" s="3"/>
      <c r="AS29" s="6" t="s">
        <v>130</v>
      </c>
      <c r="AT29" s="27">
        <f>AT28/(1+AT22)^5</f>
        <v>3883.1697748834522</v>
      </c>
      <c r="AU29" s="3"/>
      <c r="AV29" s="3"/>
      <c r="AW29" s="3"/>
      <c r="AX29" s="3"/>
    </row>
    <row r="30" spans="1:50" x14ac:dyDescent="0.35">
      <c r="A30" s="51"/>
      <c r="M30" s="6" t="s">
        <v>131</v>
      </c>
      <c r="N30" s="43">
        <f>N26+N29</f>
        <v>4622.0811724571286</v>
      </c>
      <c r="O30" s="3"/>
      <c r="P30" s="3"/>
      <c r="Q30" s="3"/>
      <c r="R30" s="3"/>
      <c r="U30" s="6" t="s">
        <v>131</v>
      </c>
      <c r="V30" s="43">
        <f>V26+V29</f>
        <v>4259.734081112545</v>
      </c>
      <c r="W30" s="3"/>
      <c r="X30" s="3"/>
      <c r="Y30" s="3"/>
      <c r="Z30" s="3"/>
      <c r="AC30" s="6" t="s">
        <v>131</v>
      </c>
      <c r="AD30" s="43">
        <f>AD26+AD29</f>
        <v>3680.2541631501435</v>
      </c>
      <c r="AE30" s="3"/>
      <c r="AF30" s="3"/>
      <c r="AG30" s="3"/>
      <c r="AH30" s="3"/>
      <c r="AK30" s="6" t="s">
        <v>131</v>
      </c>
      <c r="AL30" s="43">
        <f>AL26+AL29</f>
        <v>3444.9663700508845</v>
      </c>
      <c r="AM30" s="3"/>
      <c r="AN30" s="3"/>
      <c r="AO30" s="3"/>
      <c r="AP30" s="3"/>
      <c r="AS30" s="6" t="s">
        <v>131</v>
      </c>
      <c r="AT30" s="43">
        <f>AT26+AT29</f>
        <v>4963.127537489785</v>
      </c>
      <c r="AU30" s="3"/>
      <c r="AV30" s="3"/>
      <c r="AW30" s="3"/>
      <c r="AX30" s="3"/>
    </row>
    <row r="31" spans="1:50" x14ac:dyDescent="0.35">
      <c r="M31" s="6" t="s">
        <v>132</v>
      </c>
      <c r="N31" s="44">
        <f>N14</f>
        <v>-278.99999999999994</v>
      </c>
      <c r="O31" s="3"/>
      <c r="P31" s="3"/>
      <c r="Q31" s="3"/>
      <c r="R31" s="3"/>
      <c r="U31" s="6" t="s">
        <v>132</v>
      </c>
      <c r="V31" s="44">
        <f>N31</f>
        <v>-278.99999999999994</v>
      </c>
      <c r="W31" s="3"/>
      <c r="X31" s="3"/>
      <c r="Y31" s="3"/>
      <c r="Z31" s="3"/>
      <c r="AC31" s="6" t="s">
        <v>132</v>
      </c>
      <c r="AD31" s="44">
        <f>V31</f>
        <v>-278.99999999999994</v>
      </c>
      <c r="AE31" s="3"/>
      <c r="AF31" s="3"/>
      <c r="AG31" s="3"/>
      <c r="AH31" s="3"/>
      <c r="AK31" s="6" t="s">
        <v>132</v>
      </c>
      <c r="AL31" s="44">
        <f>AD31</f>
        <v>-278.99999999999994</v>
      </c>
      <c r="AM31" s="3"/>
      <c r="AN31" s="3"/>
      <c r="AO31" s="3"/>
      <c r="AP31" s="3"/>
      <c r="AS31" s="6" t="s">
        <v>132</v>
      </c>
      <c r="AT31" s="44">
        <f>AL31</f>
        <v>-278.99999999999994</v>
      </c>
      <c r="AU31" s="3"/>
      <c r="AV31" s="3"/>
      <c r="AW31" s="3"/>
      <c r="AX31" s="3"/>
    </row>
    <row r="32" spans="1:50" x14ac:dyDescent="0.35">
      <c r="M32" s="6" t="s">
        <v>133</v>
      </c>
      <c r="N32" s="27">
        <f>N30-N31</f>
        <v>4901.0811724571286</v>
      </c>
      <c r="O32" s="3"/>
      <c r="P32" s="3"/>
      <c r="Q32" s="3"/>
      <c r="R32" s="3"/>
      <c r="U32" s="6" t="s">
        <v>133</v>
      </c>
      <c r="V32" s="27">
        <f>V30-V31</f>
        <v>4538.734081112545</v>
      </c>
      <c r="W32" s="3"/>
      <c r="X32" s="3"/>
      <c r="Y32" s="3"/>
      <c r="Z32" s="3"/>
      <c r="AC32" s="6" t="s">
        <v>133</v>
      </c>
      <c r="AD32" s="27">
        <f>AD30-AD31</f>
        <v>3959.2541631501435</v>
      </c>
      <c r="AE32" s="3"/>
      <c r="AF32" s="3"/>
      <c r="AG32" s="3"/>
      <c r="AH32" s="3"/>
      <c r="AK32" s="6" t="s">
        <v>133</v>
      </c>
      <c r="AL32" s="27">
        <f>AL30-AL31</f>
        <v>3723.9663700508845</v>
      </c>
      <c r="AM32" s="3"/>
      <c r="AN32" s="3"/>
      <c r="AO32" s="3"/>
      <c r="AP32" s="3"/>
      <c r="AS32" s="6" t="s">
        <v>133</v>
      </c>
      <c r="AT32" s="27">
        <f>AT30-AT31</f>
        <v>5242.127537489785</v>
      </c>
      <c r="AU32" s="3"/>
      <c r="AV32" s="3"/>
      <c r="AW32" s="3"/>
      <c r="AX32" s="3"/>
    </row>
    <row r="33" spans="13:50" x14ac:dyDescent="0.35">
      <c r="M33" s="6" t="s">
        <v>123</v>
      </c>
      <c r="N33" s="27">
        <v>19290000</v>
      </c>
      <c r="O33" s="3"/>
      <c r="P33" s="3"/>
      <c r="Q33" s="3"/>
      <c r="R33" s="3"/>
      <c r="U33" s="6" t="s">
        <v>123</v>
      </c>
      <c r="V33" s="27">
        <v>19290000</v>
      </c>
      <c r="W33" s="3"/>
      <c r="X33" s="3"/>
      <c r="Y33" s="3"/>
      <c r="Z33" s="3"/>
      <c r="AC33" s="6" t="s">
        <v>123</v>
      </c>
      <c r="AD33" s="27">
        <v>19290000</v>
      </c>
      <c r="AE33" s="3"/>
      <c r="AF33" s="3"/>
      <c r="AG33" s="3"/>
      <c r="AH33" s="3"/>
      <c r="AK33" s="6" t="s">
        <v>123</v>
      </c>
      <c r="AL33" s="27">
        <v>19290000</v>
      </c>
      <c r="AM33" s="3"/>
      <c r="AN33" s="3"/>
      <c r="AO33" s="3"/>
      <c r="AP33" s="3"/>
      <c r="AS33" s="6" t="s">
        <v>123</v>
      </c>
      <c r="AT33" s="27">
        <v>19290000</v>
      </c>
      <c r="AU33" s="3"/>
      <c r="AV33" s="3"/>
      <c r="AW33" s="3"/>
      <c r="AX33" s="3"/>
    </row>
    <row r="34" spans="13:50" x14ac:dyDescent="0.35">
      <c r="M34" s="6" t="s">
        <v>134</v>
      </c>
      <c r="N34" s="27">
        <f>N32*1000000/N33</f>
        <v>254.07367405169148</v>
      </c>
      <c r="O34" s="3"/>
      <c r="P34" s="3"/>
      <c r="Q34" s="3"/>
      <c r="R34" s="3"/>
      <c r="U34" s="6" t="s">
        <v>134</v>
      </c>
      <c r="V34" s="27">
        <f>V32*1000000/V33</f>
        <v>235.28948061755028</v>
      </c>
      <c r="W34" s="3"/>
      <c r="X34" s="3"/>
      <c r="Y34" s="3"/>
      <c r="Z34" s="3"/>
      <c r="AC34" s="6" t="s">
        <v>134</v>
      </c>
      <c r="AD34" s="27">
        <f>AD32*1000000/AD33</f>
        <v>205.24904941161967</v>
      </c>
      <c r="AE34" s="3"/>
      <c r="AF34" s="3"/>
      <c r="AG34" s="3"/>
      <c r="AH34" s="3"/>
      <c r="AK34" s="6" t="s">
        <v>134</v>
      </c>
      <c r="AL34" s="27">
        <f>AL32*1000000/AL33</f>
        <v>193.05165215401166</v>
      </c>
      <c r="AM34" s="3"/>
      <c r="AN34" s="3"/>
      <c r="AO34" s="3"/>
      <c r="AP34" s="3"/>
      <c r="AS34" s="6" t="s">
        <v>134</v>
      </c>
      <c r="AT34" s="27">
        <f>AT32*1000000/AT33</f>
        <v>271.75363076670737</v>
      </c>
      <c r="AU34" s="3"/>
      <c r="AV34" s="3"/>
      <c r="AW34" s="3"/>
      <c r="AX34" s="3"/>
    </row>
    <row r="37" spans="13:50" x14ac:dyDescent="0.35">
      <c r="U37" s="6" t="s">
        <v>127</v>
      </c>
      <c r="V37" s="3">
        <v>2026</v>
      </c>
      <c r="W37" s="3">
        <v>2027</v>
      </c>
      <c r="X37" s="3">
        <v>2028</v>
      </c>
      <c r="Y37" s="3">
        <v>2029</v>
      </c>
      <c r="Z37" s="3">
        <v>2030</v>
      </c>
      <c r="AC37" s="6" t="s">
        <v>127</v>
      </c>
      <c r="AD37" s="3">
        <v>2026</v>
      </c>
      <c r="AE37" s="3">
        <v>2027</v>
      </c>
      <c r="AF37" s="3">
        <v>2028</v>
      </c>
      <c r="AG37" s="3">
        <v>2029</v>
      </c>
      <c r="AH37" s="3">
        <v>2030</v>
      </c>
      <c r="AK37" s="6" t="s">
        <v>127</v>
      </c>
      <c r="AL37" s="3">
        <v>2026</v>
      </c>
      <c r="AM37" s="3">
        <v>2027</v>
      </c>
      <c r="AN37" s="3">
        <v>2028</v>
      </c>
      <c r="AO37" s="3">
        <v>2029</v>
      </c>
      <c r="AP37" s="3">
        <v>2030</v>
      </c>
      <c r="AS37" s="6" t="s">
        <v>127</v>
      </c>
      <c r="AT37" s="3">
        <v>2026</v>
      </c>
      <c r="AU37" s="3">
        <v>2027</v>
      </c>
      <c r="AV37" s="3">
        <v>2028</v>
      </c>
      <c r="AW37" s="3">
        <v>2029</v>
      </c>
      <c r="AX37" s="3">
        <v>2030</v>
      </c>
    </row>
    <row r="38" spans="13:50" x14ac:dyDescent="0.35">
      <c r="U38" s="6" t="s">
        <v>39</v>
      </c>
      <c r="V38" s="29">
        <f>V21</f>
        <v>247.6639555000001</v>
      </c>
      <c r="W38" s="29">
        <f t="shared" ref="W38:Z38" si="41">W21</f>
        <v>225.85039912750017</v>
      </c>
      <c r="X38" s="29">
        <f t="shared" si="41"/>
        <v>262.87722859033119</v>
      </c>
      <c r="Y38" s="29">
        <f t="shared" si="41"/>
        <v>311.35736882834698</v>
      </c>
      <c r="Z38" s="29">
        <f t="shared" si="41"/>
        <v>300.60155137547122</v>
      </c>
      <c r="AC38" s="6" t="s">
        <v>39</v>
      </c>
      <c r="AD38" s="29">
        <f>AD21</f>
        <v>247.6639555000001</v>
      </c>
      <c r="AE38" s="29">
        <f t="shared" ref="AE38:AH38" si="42">AE21</f>
        <v>225.85039912750017</v>
      </c>
      <c r="AF38" s="29">
        <f t="shared" si="42"/>
        <v>262.87722859033119</v>
      </c>
      <c r="AG38" s="29">
        <f t="shared" si="42"/>
        <v>311.35736882834698</v>
      </c>
      <c r="AH38" s="29">
        <f t="shared" si="42"/>
        <v>300.60155137547122</v>
      </c>
      <c r="AK38" s="6" t="s">
        <v>39</v>
      </c>
      <c r="AL38" s="29">
        <f>AL21</f>
        <v>247.6639555000001</v>
      </c>
      <c r="AM38" s="29">
        <f t="shared" ref="AM38:AP38" si="43">AM21</f>
        <v>225.85039912750017</v>
      </c>
      <c r="AN38" s="29">
        <f t="shared" si="43"/>
        <v>262.87722859033119</v>
      </c>
      <c r="AO38" s="29">
        <f t="shared" si="43"/>
        <v>311.35736882834698</v>
      </c>
      <c r="AP38" s="29">
        <f t="shared" si="43"/>
        <v>300.60155137547122</v>
      </c>
      <c r="AS38" s="6" t="s">
        <v>39</v>
      </c>
      <c r="AT38" s="29">
        <f>AT21</f>
        <v>247.6639555000001</v>
      </c>
      <c r="AU38" s="29">
        <f t="shared" ref="AU38:AX38" si="44">AU21</f>
        <v>225.85039912750017</v>
      </c>
      <c r="AV38" s="29">
        <f t="shared" si="44"/>
        <v>262.87722859033119</v>
      </c>
      <c r="AW38" s="29">
        <f t="shared" si="44"/>
        <v>311.35736882834698</v>
      </c>
      <c r="AX38" s="29">
        <f t="shared" si="44"/>
        <v>300.60155137547122</v>
      </c>
    </row>
    <row r="39" spans="13:50" x14ac:dyDescent="0.35">
      <c r="U39" s="6" t="s">
        <v>121</v>
      </c>
      <c r="V39" s="38">
        <f>Sensibilité!B5</f>
        <v>0.08</v>
      </c>
      <c r="W39" s="3"/>
      <c r="X39" s="3"/>
      <c r="Y39" s="3"/>
      <c r="Z39" s="3"/>
      <c r="AC39" s="6" t="s">
        <v>121</v>
      </c>
      <c r="AD39" s="38">
        <f>Sensibilité!B6</f>
        <v>8.482807906837643E-2</v>
      </c>
      <c r="AE39" s="3"/>
      <c r="AF39" s="3"/>
      <c r="AG39" s="3"/>
      <c r="AH39" s="3"/>
      <c r="AK39" s="6" t="s">
        <v>121</v>
      </c>
      <c r="AL39" s="38">
        <f>Sensibilité!B7</f>
        <v>0.09</v>
      </c>
      <c r="AM39" s="3"/>
      <c r="AN39" s="3"/>
      <c r="AO39" s="3"/>
      <c r="AP39" s="3"/>
      <c r="AS39" s="6" t="s">
        <v>121</v>
      </c>
      <c r="AT39" s="38">
        <f>Sensibilité!B8</f>
        <v>9.5000000000000001E-2</v>
      </c>
      <c r="AU39" s="3"/>
      <c r="AV39" s="3"/>
      <c r="AW39" s="3"/>
      <c r="AX39" s="3"/>
    </row>
    <row r="40" spans="13:50" ht="29" x14ac:dyDescent="0.35">
      <c r="U40" s="6" t="s">
        <v>125</v>
      </c>
      <c r="V40" s="2">
        <f>1/(1+V39)^1</f>
        <v>0.92592592592592582</v>
      </c>
      <c r="W40" s="2">
        <f>1/(1+V39)^2</f>
        <v>0.85733882030178321</v>
      </c>
      <c r="X40" s="31">
        <f>1/(1+V39)^3</f>
        <v>0.79383224102016958</v>
      </c>
      <c r="Y40" s="31">
        <f>1/(1+V39)^4</f>
        <v>0.73502985279645328</v>
      </c>
      <c r="Z40" s="31">
        <f>1/(1+V39)^5</f>
        <v>0.68058319703375303</v>
      </c>
      <c r="AC40" s="6" t="s">
        <v>125</v>
      </c>
      <c r="AD40" s="2">
        <f>1/(1+AD39)^1</f>
        <v>0.92180504846332456</v>
      </c>
      <c r="AE40" s="2">
        <f>1/(1+AD39)^2</f>
        <v>0.84972454737247216</v>
      </c>
      <c r="AF40" s="31">
        <f>1/(1+AD39)^3</f>
        <v>0.7832803775711582</v>
      </c>
      <c r="AG40" s="31">
        <f>1/(1+AD39)^4</f>
        <v>0.72203180640735265</v>
      </c>
      <c r="AH40" s="31">
        <f>1/(1+AD39)^5</f>
        <v>0.66557256429739142</v>
      </c>
      <c r="AK40" s="6" t="s">
        <v>125</v>
      </c>
      <c r="AL40" s="2">
        <f>1/(1+AL39)^1</f>
        <v>0.9174311926605504</v>
      </c>
      <c r="AM40" s="2">
        <f>1/(1+AL39)^2</f>
        <v>0.84167999326655996</v>
      </c>
      <c r="AN40" s="31">
        <f>1/(1+AL39)^3</f>
        <v>0.77218348006106419</v>
      </c>
      <c r="AO40" s="31">
        <f>1/(1+AL39)^4</f>
        <v>0.7084252110651964</v>
      </c>
      <c r="AP40" s="31">
        <f>1/(1+AL39)^5</f>
        <v>0.64993138629834524</v>
      </c>
      <c r="AS40" s="6" t="s">
        <v>125</v>
      </c>
      <c r="AT40" s="2">
        <f>1/(1+AT39)^1</f>
        <v>0.91324200913242015</v>
      </c>
      <c r="AU40" s="2">
        <f>1/(1+AT39)^2</f>
        <v>0.8340109672442193</v>
      </c>
      <c r="AV40" s="31">
        <f>1/(1+AT39)^3</f>
        <v>0.76165385136458386</v>
      </c>
      <c r="AW40" s="31">
        <f>1/(1+AT39)^4</f>
        <v>0.6955742934836382</v>
      </c>
      <c r="AX40" s="31">
        <f>1/(1+AT39)^5</f>
        <v>0.63522766528186136</v>
      </c>
    </row>
    <row r="41" spans="13:50" x14ac:dyDescent="0.35">
      <c r="U41" s="6" t="s">
        <v>126</v>
      </c>
      <c r="V41" s="32">
        <f>V38*V40</f>
        <v>229.31847731481488</v>
      </c>
      <c r="W41" s="32">
        <f t="shared" ref="W41:Y41" si="45">W38*W40</f>
        <v>193.63031475265788</v>
      </c>
      <c r="X41" s="32">
        <f t="shared" si="45"/>
        <v>208.68041948503401</v>
      </c>
      <c r="Y41" s="32">
        <f t="shared" si="45"/>
        <v>228.85696097699088</v>
      </c>
      <c r="Z41" s="32">
        <f>Z38*Z40</f>
        <v>204.58436486842416</v>
      </c>
      <c r="AC41" s="6" t="s">
        <v>126</v>
      </c>
      <c r="AD41" s="32">
        <f>AD38*AD40</f>
        <v>228.29788450229626</v>
      </c>
      <c r="AE41" s="32">
        <f t="shared" ref="AE41:AG41" si="46">AE38*AE40</f>
        <v>191.91062817250727</v>
      </c>
      <c r="AF41" s="32">
        <f t="shared" si="46"/>
        <v>205.90657486509429</v>
      </c>
      <c r="AG41" s="32">
        <f t="shared" si="46"/>
        <v>224.80992345337171</v>
      </c>
      <c r="AH41" s="32">
        <f>AH38*AH40</f>
        <v>200.07214538074643</v>
      </c>
      <c r="AK41" s="6" t="s">
        <v>126</v>
      </c>
      <c r="AL41" s="32">
        <f>AL38*AL40</f>
        <v>227.21463807339458</v>
      </c>
      <c r="AM41" s="32">
        <f t="shared" ref="AM41:AO41" si="47">AM38*AM40</f>
        <v>190.09376241688423</v>
      </c>
      <c r="AN41" s="32">
        <f t="shared" si="47"/>
        <v>202.98945320168983</v>
      </c>
      <c r="AO41" s="32">
        <f t="shared" si="47"/>
        <v>220.57340972892592</v>
      </c>
      <c r="AP41" s="32">
        <f>AP38*AP40</f>
        <v>195.37038300889324</v>
      </c>
      <c r="AS41" s="6" t="s">
        <v>126</v>
      </c>
      <c r="AT41" s="32">
        <f>AT38*AT40</f>
        <v>226.17712831050238</v>
      </c>
      <c r="AU41" s="32">
        <f t="shared" ref="AU41:AW41" si="48">AU38*AU40</f>
        <v>188.36170982881939</v>
      </c>
      <c r="AV41" s="32">
        <f t="shared" si="48"/>
        <v>200.22145359187385</v>
      </c>
      <c r="AW41" s="32">
        <f t="shared" si="48"/>
        <v>216.572181843702</v>
      </c>
      <c r="AX41" s="32">
        <f>AX38*AX40</f>
        <v>190.95042166034608</v>
      </c>
    </row>
    <row r="42" spans="13:50" x14ac:dyDescent="0.35">
      <c r="U42" s="2"/>
      <c r="V42" s="3"/>
      <c r="W42" s="3"/>
      <c r="X42" s="3"/>
      <c r="Y42" s="3"/>
      <c r="Z42" s="3"/>
      <c r="AC42" s="2"/>
      <c r="AD42" s="3"/>
      <c r="AE42" s="3"/>
      <c r="AF42" s="3"/>
      <c r="AG42" s="3"/>
      <c r="AH42" s="3"/>
      <c r="AK42" s="2"/>
      <c r="AL42" s="3"/>
      <c r="AM42" s="3"/>
      <c r="AN42" s="3"/>
      <c r="AO42" s="3"/>
      <c r="AP42" s="3"/>
      <c r="AS42" s="2"/>
      <c r="AT42" s="3"/>
      <c r="AU42" s="3"/>
      <c r="AV42" s="3"/>
      <c r="AW42" s="3"/>
      <c r="AX42" s="3"/>
    </row>
    <row r="43" spans="13:50" ht="29" x14ac:dyDescent="0.35">
      <c r="U43" s="6" t="s">
        <v>128</v>
      </c>
      <c r="V43" s="27">
        <f>SUM(V41:Z41)</f>
        <v>1065.070537397922</v>
      </c>
      <c r="W43" s="3"/>
      <c r="X43" s="3"/>
      <c r="Y43" s="3"/>
      <c r="Z43" s="3"/>
      <c r="AC43" s="6" t="s">
        <v>128</v>
      </c>
      <c r="AD43" s="27">
        <f>SUM(AD41:AH41)</f>
        <v>1050.997156374016</v>
      </c>
      <c r="AE43" s="3"/>
      <c r="AF43" s="3"/>
      <c r="AG43" s="3"/>
      <c r="AH43" s="3"/>
      <c r="AK43" s="6" t="s">
        <v>128</v>
      </c>
      <c r="AL43" s="27">
        <f>SUM(AL41:AP41)</f>
        <v>1036.2416464297878</v>
      </c>
      <c r="AM43" s="3"/>
      <c r="AN43" s="3"/>
      <c r="AO43" s="3"/>
      <c r="AP43" s="3"/>
      <c r="AS43" s="6" t="s">
        <v>128</v>
      </c>
      <c r="AT43" s="27">
        <f>SUM(AT41:AX41)</f>
        <v>1022.2828952352436</v>
      </c>
      <c r="AU43" s="3"/>
      <c r="AV43" s="3"/>
      <c r="AW43" s="3"/>
      <c r="AX43" s="3"/>
    </row>
    <row r="44" spans="13:50" ht="29" x14ac:dyDescent="0.35">
      <c r="U44" s="6" t="s">
        <v>122</v>
      </c>
      <c r="V44" s="39">
        <v>0.02</v>
      </c>
      <c r="W44" s="3"/>
      <c r="X44" s="3"/>
      <c r="Y44" s="3"/>
      <c r="Z44" s="3"/>
      <c r="AC44" s="6" t="s">
        <v>122</v>
      </c>
      <c r="AD44" s="39">
        <v>0.02</v>
      </c>
      <c r="AE44" s="3"/>
      <c r="AF44" s="3"/>
      <c r="AG44" s="3"/>
      <c r="AH44" s="3"/>
      <c r="AK44" s="6" t="s">
        <v>122</v>
      </c>
      <c r="AL44" s="39">
        <v>0.02</v>
      </c>
      <c r="AM44" s="3"/>
      <c r="AN44" s="3"/>
      <c r="AO44" s="3"/>
      <c r="AP44" s="3"/>
      <c r="AS44" s="6" t="s">
        <v>122</v>
      </c>
      <c r="AT44" s="39">
        <v>0.02</v>
      </c>
      <c r="AU44" s="3"/>
      <c r="AV44" s="3"/>
      <c r="AW44" s="3"/>
      <c r="AX44" s="3"/>
    </row>
    <row r="45" spans="13:50" x14ac:dyDescent="0.35">
      <c r="U45" s="6" t="s">
        <v>129</v>
      </c>
      <c r="V45" s="27">
        <f>Z38*(1+V44)/(V39-V44)</f>
        <v>5110.2263733830105</v>
      </c>
      <c r="W45" s="3"/>
      <c r="X45" s="3"/>
      <c r="Y45" s="3"/>
      <c r="Z45" s="3"/>
      <c r="AC45" s="6" t="s">
        <v>129</v>
      </c>
      <c r="AD45" s="27">
        <f>AH38*(1+AD44)/(AD39-AD44)</f>
        <v>4729.6416430846984</v>
      </c>
      <c r="AE45" s="3"/>
      <c r="AF45" s="3"/>
      <c r="AG45" s="3"/>
      <c r="AH45" s="3"/>
      <c r="AK45" s="6" t="s">
        <v>129</v>
      </c>
      <c r="AL45" s="27">
        <f>AP38*(1+AL44)/(AL39-AL44)</f>
        <v>4380.1940343282949</v>
      </c>
      <c r="AM45" s="3"/>
      <c r="AN45" s="3"/>
      <c r="AO45" s="3"/>
      <c r="AP45" s="3"/>
      <c r="AS45" s="6" t="s">
        <v>129</v>
      </c>
      <c r="AT45" s="27">
        <f>AX38*(1+AT44)/(AT39-AT44)</f>
        <v>4088.1810987064086</v>
      </c>
      <c r="AU45" s="3"/>
      <c r="AV45" s="3"/>
      <c r="AW45" s="3"/>
      <c r="AX45" s="3"/>
    </row>
    <row r="46" spans="13:50" ht="29" x14ac:dyDescent="0.35">
      <c r="U46" s="6" t="s">
        <v>130</v>
      </c>
      <c r="V46" s="27">
        <f>V45/(1+V39)^5</f>
        <v>3477.9342027632106</v>
      </c>
      <c r="W46" s="3"/>
      <c r="X46" s="3"/>
      <c r="Y46" s="3"/>
      <c r="Z46" s="3"/>
      <c r="AC46" s="6" t="s">
        <v>130</v>
      </c>
      <c r="AD46" s="27">
        <f>AD45/(1+AD39)^5</f>
        <v>3147.9197165956107</v>
      </c>
      <c r="AE46" s="3"/>
      <c r="AF46" s="3"/>
      <c r="AG46" s="3"/>
      <c r="AH46" s="3"/>
      <c r="AK46" s="6" t="s">
        <v>130</v>
      </c>
      <c r="AL46" s="27">
        <f>AL45/(1+AL39)^5</f>
        <v>2846.8255809867305</v>
      </c>
      <c r="AM46" s="3"/>
      <c r="AN46" s="3"/>
      <c r="AO46" s="3"/>
      <c r="AP46" s="3"/>
      <c r="AS46" s="6" t="s">
        <v>130</v>
      </c>
      <c r="AT46" s="27">
        <f>AT45/(1+AT39)^5</f>
        <v>2596.9257345807068</v>
      </c>
      <c r="AU46" s="3"/>
      <c r="AV46" s="3"/>
      <c r="AW46" s="3"/>
      <c r="AX46" s="3"/>
    </row>
    <row r="47" spans="13:50" x14ac:dyDescent="0.35">
      <c r="U47" s="6" t="s">
        <v>131</v>
      </c>
      <c r="V47" s="43">
        <f>V43+V46</f>
        <v>4543.0047401611328</v>
      </c>
      <c r="W47" s="3"/>
      <c r="X47" s="3"/>
      <c r="Y47" s="3"/>
      <c r="Z47" s="3"/>
      <c r="AC47" s="6" t="s">
        <v>131</v>
      </c>
      <c r="AD47" s="43">
        <f>AD43+AD46</f>
        <v>4198.9168729696266</v>
      </c>
      <c r="AE47" s="3"/>
      <c r="AF47" s="3"/>
      <c r="AG47" s="3"/>
      <c r="AH47" s="3"/>
      <c r="AK47" s="6" t="s">
        <v>131</v>
      </c>
      <c r="AL47" s="43">
        <f>AL43+AL46</f>
        <v>3883.0672274165181</v>
      </c>
      <c r="AM47" s="3"/>
      <c r="AN47" s="3"/>
      <c r="AO47" s="3"/>
      <c r="AP47" s="3"/>
      <c r="AS47" s="6" t="s">
        <v>131</v>
      </c>
      <c r="AT47" s="43">
        <f>AT43+AT46</f>
        <v>3619.2086298159502</v>
      </c>
      <c r="AU47" s="3"/>
      <c r="AV47" s="3"/>
      <c r="AW47" s="3"/>
      <c r="AX47" s="3"/>
    </row>
    <row r="48" spans="13:50" x14ac:dyDescent="0.35">
      <c r="U48" s="6" t="s">
        <v>132</v>
      </c>
      <c r="V48" s="44">
        <f>V31</f>
        <v>-278.99999999999994</v>
      </c>
      <c r="W48" s="3"/>
      <c r="X48" s="3"/>
      <c r="Y48" s="3"/>
      <c r="Z48" s="3"/>
      <c r="AC48" s="6" t="s">
        <v>132</v>
      </c>
      <c r="AD48" s="44">
        <f>AD31</f>
        <v>-278.99999999999994</v>
      </c>
      <c r="AE48" s="3"/>
      <c r="AF48" s="3"/>
      <c r="AG48" s="3"/>
      <c r="AH48" s="3"/>
      <c r="AK48" s="6" t="s">
        <v>132</v>
      </c>
      <c r="AL48" s="44">
        <f>AL31</f>
        <v>-278.99999999999994</v>
      </c>
      <c r="AM48" s="3"/>
      <c r="AN48" s="3"/>
      <c r="AO48" s="3"/>
      <c r="AP48" s="3"/>
      <c r="AS48" s="6" t="s">
        <v>132</v>
      </c>
      <c r="AT48" s="44">
        <f>AT31</f>
        <v>-278.99999999999994</v>
      </c>
      <c r="AU48" s="3"/>
      <c r="AV48" s="3"/>
      <c r="AW48" s="3"/>
      <c r="AX48" s="3"/>
    </row>
    <row r="49" spans="21:50" x14ac:dyDescent="0.35">
      <c r="U49" s="6" t="s">
        <v>133</v>
      </c>
      <c r="V49" s="27">
        <f>V47-V48</f>
        <v>4822.0047401611328</v>
      </c>
      <c r="W49" s="3"/>
      <c r="X49" s="3"/>
      <c r="Y49" s="3"/>
      <c r="Z49" s="3"/>
      <c r="AC49" s="6" t="s">
        <v>133</v>
      </c>
      <c r="AD49" s="27">
        <f>AD47-AD48</f>
        <v>4477.9168729696266</v>
      </c>
      <c r="AE49" s="3"/>
      <c r="AF49" s="3"/>
      <c r="AG49" s="3"/>
      <c r="AH49" s="3"/>
      <c r="AK49" s="6" t="s">
        <v>133</v>
      </c>
      <c r="AL49" s="27">
        <f>AL47-AL48</f>
        <v>4162.0672274165181</v>
      </c>
      <c r="AM49" s="3"/>
      <c r="AN49" s="3"/>
      <c r="AO49" s="3"/>
      <c r="AP49" s="3"/>
      <c r="AS49" s="6" t="s">
        <v>133</v>
      </c>
      <c r="AT49" s="27">
        <f>AT47-AT48</f>
        <v>3898.2086298159502</v>
      </c>
      <c r="AU49" s="3"/>
      <c r="AV49" s="3"/>
      <c r="AW49" s="3"/>
      <c r="AX49" s="3"/>
    </row>
    <row r="50" spans="21:50" x14ac:dyDescent="0.35">
      <c r="U50" s="6" t="s">
        <v>123</v>
      </c>
      <c r="V50" s="27">
        <v>19290000</v>
      </c>
      <c r="W50" s="3"/>
      <c r="X50" s="3"/>
      <c r="Y50" s="3"/>
      <c r="Z50" s="3"/>
      <c r="AC50" s="6" t="s">
        <v>123</v>
      </c>
      <c r="AD50" s="27">
        <v>19290000</v>
      </c>
      <c r="AE50" s="3"/>
      <c r="AF50" s="3"/>
      <c r="AG50" s="3"/>
      <c r="AH50" s="3"/>
      <c r="AK50" s="6" t="s">
        <v>123</v>
      </c>
      <c r="AL50" s="27">
        <v>19290000</v>
      </c>
      <c r="AM50" s="3"/>
      <c r="AN50" s="3"/>
      <c r="AO50" s="3"/>
      <c r="AP50" s="3"/>
      <c r="AS50" s="6" t="s">
        <v>123</v>
      </c>
      <c r="AT50" s="27">
        <v>19290000</v>
      </c>
      <c r="AU50" s="3"/>
      <c r="AV50" s="3"/>
      <c r="AW50" s="3"/>
      <c r="AX50" s="3"/>
    </row>
    <row r="51" spans="21:50" x14ac:dyDescent="0.35">
      <c r="U51" s="6" t="s">
        <v>134</v>
      </c>
      <c r="V51" s="27">
        <f>V49*1000000/V50</f>
        <v>249.97432556563675</v>
      </c>
      <c r="W51" s="3"/>
      <c r="X51" s="3"/>
      <c r="Y51" s="3"/>
      <c r="Z51" s="3"/>
      <c r="AC51" s="6" t="s">
        <v>134</v>
      </c>
      <c r="AD51" s="27">
        <f>AD49*1000000/AD50</f>
        <v>232.13669636960219</v>
      </c>
      <c r="AE51" s="3"/>
      <c r="AF51" s="3"/>
      <c r="AG51" s="3"/>
      <c r="AH51" s="3"/>
      <c r="AK51" s="6" t="s">
        <v>134</v>
      </c>
      <c r="AL51" s="27">
        <f>AL49*1000000/AL50</f>
        <v>215.76294595212639</v>
      </c>
      <c r="AM51" s="3"/>
      <c r="AN51" s="3"/>
      <c r="AO51" s="3"/>
      <c r="AP51" s="3"/>
      <c r="AS51" s="6" t="s">
        <v>134</v>
      </c>
      <c r="AT51" s="27">
        <f>AT49*1000000/AT50</f>
        <v>202.08442871000261</v>
      </c>
      <c r="AU51" s="3"/>
      <c r="AV51" s="3"/>
      <c r="AW51" s="3"/>
      <c r="AX51" s="3"/>
    </row>
  </sheetData>
  <mergeCells count="1">
    <mergeCell ref="L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E3B24-C69B-44D4-846F-6B2C831B3086}">
  <dimension ref="A1:M27"/>
  <sheetViews>
    <sheetView zoomScale="57" zoomScaleNormal="95" workbookViewId="0">
      <selection activeCell="G15" sqref="G15"/>
    </sheetView>
  </sheetViews>
  <sheetFormatPr baseColWidth="10" defaultRowHeight="14.5" x14ac:dyDescent="0.35"/>
  <cols>
    <col min="1" max="1" width="33.453125" customWidth="1"/>
    <col min="2" max="2" width="18.1796875" customWidth="1"/>
    <col min="3" max="3" width="48.26953125" customWidth="1"/>
    <col min="4" max="4" width="36.36328125" customWidth="1"/>
    <col min="5" max="5" width="22.81640625" customWidth="1"/>
    <col min="6" max="6" width="15.54296875" customWidth="1"/>
    <col min="7" max="7" width="16.36328125" customWidth="1"/>
  </cols>
  <sheetData>
    <row r="1" spans="1:13" x14ac:dyDescent="0.35">
      <c r="A1" s="37"/>
      <c r="D1" s="91" t="s">
        <v>340</v>
      </c>
      <c r="E1" s="91"/>
      <c r="F1" s="91"/>
    </row>
    <row r="2" spans="1:13" x14ac:dyDescent="0.35">
      <c r="A2" s="5" t="s">
        <v>151</v>
      </c>
      <c r="B2" s="5" t="s">
        <v>156</v>
      </c>
      <c r="C2" s="5" t="s">
        <v>161</v>
      </c>
      <c r="D2" s="5" t="s">
        <v>157</v>
      </c>
      <c r="E2" s="5" t="s">
        <v>155</v>
      </c>
      <c r="F2" s="5" t="s">
        <v>154</v>
      </c>
      <c r="H2" s="8"/>
    </row>
    <row r="3" spans="1:13" x14ac:dyDescent="0.35">
      <c r="A3" s="6" t="s">
        <v>140</v>
      </c>
      <c r="B3" s="54" t="s">
        <v>158</v>
      </c>
      <c r="C3" s="54" t="s">
        <v>162</v>
      </c>
      <c r="D3" s="40">
        <v>3.04</v>
      </c>
      <c r="E3" s="22">
        <v>0.66</v>
      </c>
      <c r="F3" s="22">
        <v>5.72</v>
      </c>
      <c r="G3" s="8"/>
      <c r="H3" s="8"/>
    </row>
    <row r="4" spans="1:13" x14ac:dyDescent="0.35">
      <c r="A4" s="6" t="s">
        <v>136</v>
      </c>
      <c r="B4" s="54" t="s">
        <v>159</v>
      </c>
      <c r="C4" s="54" t="s">
        <v>166</v>
      </c>
      <c r="D4" s="27">
        <v>2.2999999999999998</v>
      </c>
      <c r="E4" s="34">
        <v>0.84</v>
      </c>
      <c r="F4" s="34">
        <v>8.24</v>
      </c>
      <c r="G4" s="8"/>
      <c r="H4" s="3"/>
      <c r="I4" s="27"/>
      <c r="J4" s="27"/>
      <c r="K4" s="27"/>
      <c r="L4" s="27"/>
      <c r="M4" s="27"/>
    </row>
    <row r="5" spans="1:13" x14ac:dyDescent="0.35">
      <c r="A5" s="6" t="s">
        <v>152</v>
      </c>
      <c r="B5" s="54" t="s">
        <v>159</v>
      </c>
      <c r="C5" s="54" t="s">
        <v>164</v>
      </c>
      <c r="D5" s="27">
        <v>0.70598000000000005</v>
      </c>
      <c r="E5" s="34">
        <v>0.41</v>
      </c>
      <c r="F5" s="34">
        <v>8.42</v>
      </c>
      <c r="G5" s="3"/>
      <c r="H5" s="3"/>
      <c r="I5" s="27"/>
      <c r="J5" s="27"/>
      <c r="K5" s="27"/>
      <c r="L5" s="27"/>
      <c r="M5" s="27"/>
    </row>
    <row r="6" spans="1:13" x14ac:dyDescent="0.35">
      <c r="A6" s="6" t="s">
        <v>135</v>
      </c>
      <c r="B6" s="54" t="s">
        <v>159</v>
      </c>
      <c r="C6" s="54" t="s">
        <v>165</v>
      </c>
      <c r="D6" s="27">
        <v>3.34</v>
      </c>
      <c r="E6" s="34">
        <v>0.46</v>
      </c>
      <c r="F6" s="34">
        <v>7.52</v>
      </c>
      <c r="G6" s="3"/>
      <c r="H6" s="3"/>
      <c r="I6" s="27"/>
      <c r="J6" s="27"/>
      <c r="K6" s="27"/>
      <c r="L6" s="27"/>
      <c r="M6" s="27"/>
    </row>
    <row r="7" spans="1:13" x14ac:dyDescent="0.35">
      <c r="A7" s="6" t="s">
        <v>153</v>
      </c>
      <c r="B7" s="54" t="s">
        <v>160</v>
      </c>
      <c r="C7" s="54" t="s">
        <v>163</v>
      </c>
      <c r="D7" s="27">
        <v>0.125</v>
      </c>
      <c r="E7" s="34">
        <v>0.4</v>
      </c>
      <c r="F7" s="34">
        <v>7</v>
      </c>
      <c r="G7" s="3"/>
      <c r="H7" s="3"/>
      <c r="I7" s="27"/>
      <c r="J7" s="27"/>
      <c r="K7" s="27"/>
      <c r="L7" s="27"/>
      <c r="M7" s="27"/>
    </row>
    <row r="8" spans="1:13" x14ac:dyDescent="0.35">
      <c r="A8" s="6" t="s">
        <v>240</v>
      </c>
      <c r="B8" s="26"/>
      <c r="C8" s="26"/>
      <c r="D8" s="47">
        <f>MEDIAN(D4:D7)</f>
        <v>1.50299</v>
      </c>
      <c r="E8" s="47">
        <f>MEDIAN(E4:E7)</f>
        <v>0.435</v>
      </c>
      <c r="F8" s="47">
        <f>MEDIAN(F4:F7)</f>
        <v>7.88</v>
      </c>
      <c r="G8" s="40"/>
    </row>
    <row r="11" spans="1:13" x14ac:dyDescent="0.35">
      <c r="A11" s="1"/>
      <c r="B11" s="8" t="s">
        <v>155</v>
      </c>
      <c r="C11" s="8" t="s">
        <v>154</v>
      </c>
      <c r="D11" s="8"/>
    </row>
    <row r="12" spans="1:13" x14ac:dyDescent="0.35">
      <c r="A12" s="2" t="s">
        <v>137</v>
      </c>
      <c r="B12" s="27">
        <f>E8</f>
        <v>0.435</v>
      </c>
      <c r="C12" s="27">
        <f t="shared" ref="C12" si="0">F8</f>
        <v>7.88</v>
      </c>
      <c r="D12" s="27"/>
    </row>
    <row r="13" spans="1:13" x14ac:dyDescent="0.35">
      <c r="A13" s="2"/>
      <c r="B13" s="8" t="s">
        <v>167</v>
      </c>
      <c r="C13" s="8" t="s">
        <v>168</v>
      </c>
      <c r="D13" s="8"/>
      <c r="F13" s="46"/>
    </row>
    <row r="14" spans="1:13" x14ac:dyDescent="0.35">
      <c r="A14" t="s">
        <v>169</v>
      </c>
      <c r="B14" s="27">
        <f>FCFF!G3</f>
        <v>3715.1029999999996</v>
      </c>
      <c r="C14" s="27">
        <f>FCFF!G4+FCFF!G7</f>
        <v>419.80663899999996</v>
      </c>
      <c r="D14" s="27"/>
    </row>
    <row r="15" spans="1:13" x14ac:dyDescent="0.35">
      <c r="A15" s="2" t="s">
        <v>138</v>
      </c>
      <c r="B15" s="27">
        <f>B12*B14</f>
        <v>1616.0698049999999</v>
      </c>
      <c r="C15" s="27">
        <f>C12*C14</f>
        <v>3308.0763153199996</v>
      </c>
      <c r="D15" s="27"/>
    </row>
    <row r="16" spans="1:13" x14ac:dyDescent="0.35">
      <c r="A16" s="2" t="s">
        <v>139</v>
      </c>
      <c r="B16" s="27">
        <f>Données!M29+Données!M34-Données!M16</f>
        <v>-278.99999999999994</v>
      </c>
      <c r="C16" s="27">
        <f>B16</f>
        <v>-278.99999999999994</v>
      </c>
      <c r="D16" s="27"/>
    </row>
    <row r="17" spans="1:5" x14ac:dyDescent="0.35">
      <c r="A17" s="2" t="s">
        <v>133</v>
      </c>
      <c r="B17" s="27">
        <f>B15-B16</f>
        <v>1895.0698049999999</v>
      </c>
      <c r="C17" s="27">
        <f>C15-C16</f>
        <v>3587.0763153199996</v>
      </c>
      <c r="D17" s="27"/>
    </row>
    <row r="18" spans="1:5" x14ac:dyDescent="0.35">
      <c r="A18" s="2" t="s">
        <v>123</v>
      </c>
      <c r="B18" s="27">
        <f>Valorisation!F16</f>
        <v>19290000</v>
      </c>
      <c r="C18" s="27">
        <v>19290000</v>
      </c>
      <c r="D18" s="27"/>
    </row>
    <row r="19" spans="1:5" x14ac:dyDescent="0.35">
      <c r="A19" s="2" t="s">
        <v>134</v>
      </c>
      <c r="B19" s="27">
        <f>B17*1000000/B18</f>
        <v>98.24104743390356</v>
      </c>
      <c r="C19" s="27">
        <f t="shared" ref="C19" si="1">C17*1000000/C18</f>
        <v>185.9552262996371</v>
      </c>
      <c r="D19" s="27"/>
    </row>
    <row r="20" spans="1:5" x14ac:dyDescent="0.35">
      <c r="A20" s="2"/>
      <c r="B20" s="27"/>
      <c r="C20" s="27"/>
      <c r="D20" s="27"/>
    </row>
    <row r="21" spans="1:5" x14ac:dyDescent="0.35">
      <c r="A21" s="2"/>
      <c r="B21" s="41"/>
      <c r="C21" s="27"/>
      <c r="D21" s="27"/>
      <c r="E21" s="27"/>
    </row>
    <row r="26" spans="1:5" ht="21.5" customHeight="1" x14ac:dyDescent="0.35"/>
    <row r="27" spans="1:5" ht="18" customHeight="1" x14ac:dyDescent="0.35"/>
  </sheetData>
  <mergeCells count="1"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09F0-ACF2-476D-B840-D8ED01574888}">
  <dimension ref="A1:U22"/>
  <sheetViews>
    <sheetView zoomScale="61" zoomScaleNormal="55" workbookViewId="0">
      <selection activeCell="M19" sqref="M19"/>
    </sheetView>
  </sheetViews>
  <sheetFormatPr baseColWidth="10" defaultRowHeight="14.5" x14ac:dyDescent="0.35"/>
  <cols>
    <col min="2" max="2" width="16.36328125" customWidth="1"/>
    <col min="3" max="4" width="11.08984375" bestFit="1" customWidth="1"/>
    <col min="5" max="5" width="22.7265625" customWidth="1"/>
    <col min="9" max="9" width="24.81640625" customWidth="1"/>
    <col min="10" max="10" width="16.6328125" customWidth="1"/>
    <col min="11" max="11" width="12" bestFit="1" customWidth="1"/>
    <col min="12" max="14" width="12.36328125" bestFit="1" customWidth="1"/>
    <col min="16" max="16" width="25.453125" customWidth="1"/>
    <col min="17" max="17" width="14.81640625" customWidth="1"/>
    <col min="18" max="18" width="11.36328125" bestFit="1" customWidth="1"/>
    <col min="19" max="21" width="11.1796875" bestFit="1" customWidth="1"/>
  </cols>
  <sheetData>
    <row r="1" spans="1:21" x14ac:dyDescent="0.35">
      <c r="A1" s="91" t="s">
        <v>342</v>
      </c>
      <c r="B1" s="91"/>
      <c r="C1" s="91"/>
      <c r="D1" s="91"/>
      <c r="E1" s="91"/>
      <c r="I1" s="91" t="s">
        <v>330</v>
      </c>
      <c r="J1" s="91"/>
      <c r="K1" s="91"/>
      <c r="L1" s="91"/>
      <c r="M1" s="91"/>
      <c r="N1" s="87"/>
      <c r="O1" s="87"/>
      <c r="P1" s="91" t="s">
        <v>331</v>
      </c>
      <c r="Q1" s="91"/>
      <c r="R1" s="91"/>
      <c r="S1" s="91"/>
      <c r="T1" s="91"/>
      <c r="U1" s="87"/>
    </row>
    <row r="2" spans="1:21" ht="29" customHeight="1" x14ac:dyDescent="0.35">
      <c r="A2" s="6"/>
      <c r="B2" s="94" t="s">
        <v>144</v>
      </c>
      <c r="C2" s="94"/>
      <c r="D2" s="94"/>
      <c r="E2" s="94"/>
      <c r="I2" s="6" t="s">
        <v>124</v>
      </c>
      <c r="J2" s="3">
        <v>2026</v>
      </c>
      <c r="K2" s="3">
        <v>2027</v>
      </c>
      <c r="L2" s="3">
        <v>2028</v>
      </c>
      <c r="M2" s="3">
        <v>2029</v>
      </c>
      <c r="N2" s="3">
        <v>2030</v>
      </c>
      <c r="P2" s="6" t="s">
        <v>17</v>
      </c>
      <c r="Q2" s="3">
        <v>2026</v>
      </c>
      <c r="R2" s="3">
        <v>2027</v>
      </c>
      <c r="S2" s="3">
        <v>2028</v>
      </c>
      <c r="T2" s="3">
        <v>2029</v>
      </c>
      <c r="U2" s="3">
        <v>2030</v>
      </c>
    </row>
    <row r="3" spans="1:21" x14ac:dyDescent="0.35">
      <c r="A3" s="6"/>
      <c r="B3" s="73"/>
      <c r="C3" s="75">
        <v>0.01</v>
      </c>
      <c r="D3" s="75">
        <v>1.4999999999999999E-2</v>
      </c>
      <c r="E3" s="75">
        <v>0.02</v>
      </c>
      <c r="I3" s="6" t="s">
        <v>39</v>
      </c>
      <c r="J3" s="29">
        <f>FCFF!N10</f>
        <v>213.40448350000005</v>
      </c>
      <c r="K3" s="29">
        <f>FCFF!O10</f>
        <v>190.62065385999998</v>
      </c>
      <c r="L3" s="29">
        <f>FCFF!P10</f>
        <v>233.95392270880004</v>
      </c>
      <c r="M3" s="29">
        <f>FCFF!Q10</f>
        <v>238.05661910603476</v>
      </c>
      <c r="N3" s="29">
        <f>FCFF!R10</f>
        <v>243.47750703022723</v>
      </c>
      <c r="P3" s="6" t="s">
        <v>39</v>
      </c>
      <c r="Q3" s="29">
        <f>FCFF!U10</f>
        <v>266.83425300000005</v>
      </c>
      <c r="R3" s="29">
        <f>FCFF!V10</f>
        <v>241.95898507999993</v>
      </c>
      <c r="S3" s="29">
        <f>FCFF!W10</f>
        <v>277.3808304541999</v>
      </c>
      <c r="T3" s="29">
        <f>FCFF!X10</f>
        <v>333.48541884518011</v>
      </c>
      <c r="U3" s="29">
        <f>FCFF!Y10</f>
        <v>325.01231744790937</v>
      </c>
    </row>
    <row r="4" spans="1:21" x14ac:dyDescent="0.35">
      <c r="A4" s="94" t="s">
        <v>121</v>
      </c>
      <c r="B4" s="7">
        <v>7.4999999999999997E-2</v>
      </c>
      <c r="C4" s="73">
        <f>Valorisation!N17</f>
        <v>239.11371067744724</v>
      </c>
      <c r="D4" s="73">
        <f>Valorisation!N34</f>
        <v>254.07367405169148</v>
      </c>
      <c r="E4" s="73">
        <f>Valorisation!AT34</f>
        <v>271.75363076670737</v>
      </c>
      <c r="I4" s="6" t="s">
        <v>121</v>
      </c>
      <c r="J4" s="38">
        <f>B8</f>
        <v>9.5000000000000001E-2</v>
      </c>
      <c r="K4" s="3"/>
      <c r="L4" s="3"/>
      <c r="M4" s="3"/>
      <c r="N4" s="3"/>
      <c r="P4" s="6" t="s">
        <v>121</v>
      </c>
      <c r="Q4" s="38">
        <f>B4</f>
        <v>7.4999999999999997E-2</v>
      </c>
      <c r="R4" s="3"/>
      <c r="S4" s="3"/>
      <c r="T4" s="3"/>
      <c r="U4" s="3"/>
    </row>
    <row r="5" spans="1:21" x14ac:dyDescent="0.35">
      <c r="A5" s="94"/>
      <c r="B5" s="7">
        <v>0.08</v>
      </c>
      <c r="C5" s="73">
        <f>Valorisation!V17</f>
        <v>222.70247066204763</v>
      </c>
      <c r="D5" s="73">
        <f>Valorisation!V34</f>
        <v>235.28948061755028</v>
      </c>
      <c r="E5" s="73">
        <f>Valorisation!V51</f>
        <v>249.97432556563675</v>
      </c>
      <c r="I5" s="6" t="s">
        <v>125</v>
      </c>
      <c r="J5" s="2">
        <f>1/(1+J4)^1</f>
        <v>0.91324200913242015</v>
      </c>
      <c r="K5" s="2">
        <f>1/(1+J4)^2</f>
        <v>0.8340109672442193</v>
      </c>
      <c r="L5" s="31">
        <f>1/(1+J4)^3</f>
        <v>0.76165385136458386</v>
      </c>
      <c r="M5" s="31">
        <f>1/(1+J4)^4</f>
        <v>0.6955742934836382</v>
      </c>
      <c r="N5" s="31">
        <f>1/(1+J4)^5</f>
        <v>0.63522766528186136</v>
      </c>
      <c r="P5" s="6" t="s">
        <v>125</v>
      </c>
      <c r="Q5" s="2">
        <f>1/(1+Q4)^1</f>
        <v>0.93023255813953487</v>
      </c>
      <c r="R5" s="2">
        <f>1/(1+Q4)^2</f>
        <v>0.86533261222282321</v>
      </c>
      <c r="S5" s="31">
        <f>1/(1+Q4)^3</f>
        <v>0.80496056950960304</v>
      </c>
      <c r="T5" s="31">
        <f>1/(1+Q4)^4</f>
        <v>0.7488005297763749</v>
      </c>
      <c r="U5" s="31">
        <f>1/(1+Q4)^5</f>
        <v>0.69655863235011617</v>
      </c>
    </row>
    <row r="6" spans="1:21" x14ac:dyDescent="0.35">
      <c r="A6" s="94"/>
      <c r="B6" s="7">
        <f>Valorisation!F4</f>
        <v>8.482807906837643E-2</v>
      </c>
      <c r="C6" s="73">
        <f>Valorisation!AD17</f>
        <v>208.94205993416534</v>
      </c>
      <c r="D6" s="74">
        <f>Valorisation!F17</f>
        <v>219.70895875810646</v>
      </c>
      <c r="E6" s="73">
        <f>Valorisation!AD51</f>
        <v>232.13669636960219</v>
      </c>
      <c r="I6" s="6" t="s">
        <v>126</v>
      </c>
      <c r="J6" s="32">
        <f>J3*J5</f>
        <v>194.88993926940645</v>
      </c>
      <c r="K6" s="32">
        <f t="shared" ref="K6:M6" si="0">K3*K5</f>
        <v>158.9797159025041</v>
      </c>
      <c r="L6" s="32">
        <f t="shared" si="0"/>
        <v>178.19190627300972</v>
      </c>
      <c r="M6" s="32">
        <f t="shared" si="0"/>
        <v>165.58606464378369</v>
      </c>
      <c r="N6" s="32">
        <f>N3*N5</f>
        <v>154.66364833945923</v>
      </c>
      <c r="P6" s="6" t="s">
        <v>126</v>
      </c>
      <c r="Q6" s="32">
        <f>Q3*Q5</f>
        <v>248.21790976744191</v>
      </c>
      <c r="R6" s="32">
        <f t="shared" ref="R6:T6" si="1">R3*R5</f>
        <v>209.37500061005946</v>
      </c>
      <c r="S6" s="32">
        <f t="shared" si="1"/>
        <v>223.2806312534594</v>
      </c>
      <c r="T6" s="32">
        <f t="shared" si="1"/>
        <v>249.71405830396714</v>
      </c>
      <c r="U6" s="32">
        <f>U3*U5</f>
        <v>226.39013533845755</v>
      </c>
    </row>
    <row r="7" spans="1:21" x14ac:dyDescent="0.35">
      <c r="A7" s="94"/>
      <c r="B7" s="7">
        <v>0.09</v>
      </c>
      <c r="C7" s="73">
        <f>Valorisation!AL17</f>
        <v>196.04938993867623</v>
      </c>
      <c r="D7" s="73">
        <f>Valorisation!AD34</f>
        <v>205.24904941161967</v>
      </c>
      <c r="E7" s="73">
        <f>Valorisation!AL51</f>
        <v>215.76294595212639</v>
      </c>
      <c r="I7" s="2"/>
      <c r="J7" s="3"/>
      <c r="K7" s="3"/>
      <c r="L7" s="3"/>
      <c r="M7" s="3"/>
      <c r="N7" s="3"/>
      <c r="P7" s="2"/>
      <c r="Q7" s="3"/>
      <c r="R7" s="3"/>
      <c r="S7" s="3"/>
      <c r="T7" s="3"/>
      <c r="U7" s="3"/>
    </row>
    <row r="8" spans="1:21" x14ac:dyDescent="0.35">
      <c r="A8" s="94"/>
      <c r="B8" s="7">
        <v>9.5000000000000001E-2</v>
      </c>
      <c r="C8" s="73">
        <f>Valorisation!AT17</f>
        <v>185.08155519284313</v>
      </c>
      <c r="D8" s="73">
        <f>Valorisation!AL34</f>
        <v>193.05165215401166</v>
      </c>
      <c r="E8" s="73">
        <f>Valorisation!AT51</f>
        <v>202.08442871000261</v>
      </c>
      <c r="I8" s="6" t="s">
        <v>128</v>
      </c>
      <c r="J8" s="27">
        <f>SUM(J6:N6)</f>
        <v>852.31127442816307</v>
      </c>
      <c r="K8" s="3"/>
      <c r="L8" s="3"/>
      <c r="M8" s="3"/>
      <c r="N8" s="3"/>
      <c r="P8" s="6" t="s">
        <v>128</v>
      </c>
      <c r="Q8" s="27">
        <f>SUM(Q6:U6)</f>
        <v>1156.9777352733854</v>
      </c>
      <c r="R8" s="3"/>
      <c r="S8" s="3"/>
      <c r="T8" s="3"/>
      <c r="U8" s="3"/>
    </row>
    <row r="9" spans="1:21" x14ac:dyDescent="0.35">
      <c r="I9" s="6" t="s">
        <v>122</v>
      </c>
      <c r="J9" s="39">
        <f>C3</f>
        <v>0.01</v>
      </c>
      <c r="K9" s="3"/>
      <c r="L9" s="3"/>
      <c r="M9" s="3"/>
      <c r="N9" s="3"/>
      <c r="P9" s="6" t="s">
        <v>122</v>
      </c>
      <c r="Q9" s="39">
        <f>E3</f>
        <v>0.02</v>
      </c>
      <c r="R9" s="3"/>
      <c r="S9" s="3"/>
      <c r="T9" s="3"/>
      <c r="U9" s="3"/>
    </row>
    <row r="10" spans="1:21" x14ac:dyDescent="0.35">
      <c r="A10" s="26"/>
      <c r="I10" s="6" t="s">
        <v>129</v>
      </c>
      <c r="J10" s="27">
        <f>N3*(1+J9)/(J4-J9)</f>
        <v>2893.0856717709348</v>
      </c>
      <c r="K10" s="3"/>
      <c r="L10" s="3"/>
      <c r="M10" s="3"/>
      <c r="N10" s="3"/>
      <c r="P10" s="6" t="s">
        <v>129</v>
      </c>
      <c r="Q10" s="27">
        <f>U3*(1+Q9)/(Q4-Q9)</f>
        <v>6027.5011599430472</v>
      </c>
      <c r="R10" s="3"/>
      <c r="S10" s="3"/>
      <c r="T10" s="3"/>
      <c r="U10" s="3"/>
    </row>
    <row r="11" spans="1:21" x14ac:dyDescent="0.35">
      <c r="I11" s="6" t="s">
        <v>130</v>
      </c>
      <c r="J11" s="27">
        <f>J10/(1+J4)^5</f>
        <v>1837.7680567394564</v>
      </c>
      <c r="K11" s="3"/>
      <c r="L11" s="3"/>
      <c r="M11" s="3"/>
      <c r="N11" s="3"/>
      <c r="P11" s="6" t="s">
        <v>130</v>
      </c>
      <c r="Q11" s="27">
        <f>Q10/(1+Q4)^5</f>
        <v>4198.5079644586676</v>
      </c>
      <c r="R11" s="3"/>
      <c r="S11" s="3"/>
      <c r="T11" s="3"/>
      <c r="U11" s="3"/>
    </row>
    <row r="12" spans="1:21" x14ac:dyDescent="0.35">
      <c r="I12" s="6" t="s">
        <v>131</v>
      </c>
      <c r="J12" s="43">
        <f>J8+J11</f>
        <v>2690.0793311676193</v>
      </c>
      <c r="K12" s="3"/>
      <c r="L12" s="3"/>
      <c r="M12" s="3"/>
      <c r="N12" s="3"/>
      <c r="P12" s="6" t="s">
        <v>131</v>
      </c>
      <c r="Q12" s="43">
        <f>Q8+Q11</f>
        <v>5355.485699732053</v>
      </c>
      <c r="R12" s="3"/>
      <c r="S12" s="3"/>
      <c r="T12" s="3"/>
      <c r="U12" s="3"/>
    </row>
    <row r="13" spans="1:21" x14ac:dyDescent="0.35">
      <c r="I13" s="6" t="s">
        <v>132</v>
      </c>
      <c r="J13" s="44">
        <f>Valorisation!F14</f>
        <v>-278.99999999999994</v>
      </c>
      <c r="K13" s="3"/>
      <c r="L13" s="3"/>
      <c r="M13" s="3"/>
      <c r="N13" s="3"/>
      <c r="P13" s="6" t="s">
        <v>132</v>
      </c>
      <c r="Q13" s="44">
        <f>Valorisation!F14</f>
        <v>-278.99999999999994</v>
      </c>
      <c r="R13" s="3"/>
      <c r="S13" s="3"/>
      <c r="T13" s="3"/>
      <c r="U13" s="3"/>
    </row>
    <row r="14" spans="1:21" x14ac:dyDescent="0.35">
      <c r="I14" s="6" t="s">
        <v>133</v>
      </c>
      <c r="J14" s="27">
        <f>J12-J13</f>
        <v>2969.0793311676193</v>
      </c>
      <c r="K14" s="3"/>
      <c r="L14" s="3"/>
      <c r="M14" s="3"/>
      <c r="N14" s="3"/>
      <c r="P14" s="6" t="s">
        <v>133</v>
      </c>
      <c r="Q14" s="27">
        <f>Q12-Q13</f>
        <v>5634.485699732053</v>
      </c>
      <c r="R14" s="3"/>
      <c r="S14" s="3"/>
      <c r="T14" s="3"/>
      <c r="U14" s="3"/>
    </row>
    <row r="15" spans="1:21" x14ac:dyDescent="0.35">
      <c r="I15" s="6" t="s">
        <v>123</v>
      </c>
      <c r="J15" s="27">
        <v>19290000</v>
      </c>
      <c r="K15" s="3"/>
      <c r="L15" s="3"/>
      <c r="M15" s="3"/>
      <c r="N15" s="3"/>
      <c r="P15" s="6" t="s">
        <v>123</v>
      </c>
      <c r="Q15" s="27">
        <v>19290000</v>
      </c>
      <c r="R15" s="3"/>
      <c r="S15" s="3"/>
      <c r="T15" s="3"/>
      <c r="U15" s="3"/>
    </row>
    <row r="16" spans="1:21" x14ac:dyDescent="0.35">
      <c r="I16" s="6" t="s">
        <v>134</v>
      </c>
      <c r="J16" s="27">
        <f>J14*1000000/J15</f>
        <v>153.91805760329805</v>
      </c>
      <c r="K16" s="3"/>
      <c r="L16" s="3"/>
      <c r="M16" s="3"/>
      <c r="N16" s="3"/>
      <c r="P16" s="6" t="s">
        <v>134</v>
      </c>
      <c r="Q16" s="27">
        <f>Q14*1000000/Q15</f>
        <v>292.09360807320127</v>
      </c>
      <c r="R16" s="3"/>
      <c r="S16" s="3"/>
      <c r="T16" s="3"/>
      <c r="U16" s="3"/>
    </row>
    <row r="18" spans="1:5" x14ac:dyDescent="0.35">
      <c r="A18" s="91" t="s">
        <v>341</v>
      </c>
      <c r="B18" s="91"/>
      <c r="C18" s="91"/>
      <c r="D18" s="91"/>
      <c r="E18" s="91"/>
    </row>
    <row r="19" spans="1:5" ht="29" x14ac:dyDescent="0.35">
      <c r="A19" s="5" t="s">
        <v>223</v>
      </c>
      <c r="B19" s="5" t="s">
        <v>324</v>
      </c>
      <c r="C19" s="5" t="s">
        <v>121</v>
      </c>
      <c r="D19" s="5" t="s">
        <v>325</v>
      </c>
      <c r="E19" s="5" t="s">
        <v>134</v>
      </c>
    </row>
    <row r="20" spans="1:5" x14ac:dyDescent="0.35">
      <c r="A20" s="76" t="s">
        <v>203</v>
      </c>
      <c r="B20" s="76" t="s">
        <v>326</v>
      </c>
      <c r="C20" s="83">
        <v>9.5000000000000001E-2</v>
      </c>
      <c r="D20" s="83">
        <v>0.01</v>
      </c>
      <c r="E20" s="84">
        <v>153.91999999999999</v>
      </c>
    </row>
    <row r="21" spans="1:5" x14ac:dyDescent="0.35">
      <c r="A21" s="76" t="s">
        <v>16</v>
      </c>
      <c r="B21" s="76" t="s">
        <v>327</v>
      </c>
      <c r="C21" s="83">
        <v>8.48E-2</v>
      </c>
      <c r="D21" s="83">
        <v>1.4999999999999999E-2</v>
      </c>
      <c r="E21" s="84">
        <v>219.71</v>
      </c>
    </row>
    <row r="22" spans="1:5" x14ac:dyDescent="0.35">
      <c r="A22" s="76" t="s">
        <v>17</v>
      </c>
      <c r="B22" s="76" t="s">
        <v>328</v>
      </c>
      <c r="C22" s="83">
        <v>7.4999999999999997E-2</v>
      </c>
      <c r="D22" s="83">
        <v>0.02</v>
      </c>
      <c r="E22" s="84">
        <v>292.08999999999997</v>
      </c>
    </row>
  </sheetData>
  <mergeCells count="6">
    <mergeCell ref="A18:E18"/>
    <mergeCell ref="A1:E1"/>
    <mergeCell ref="I1:M1"/>
    <mergeCell ref="P1:T1"/>
    <mergeCell ref="A4:A8"/>
    <mergeCell ref="B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6F9B-2EF9-419A-B243-C5DB92A5730A}">
  <dimension ref="A1:D6"/>
  <sheetViews>
    <sheetView zoomScale="55" workbookViewId="0">
      <selection activeCell="H6" sqref="H6"/>
    </sheetView>
  </sheetViews>
  <sheetFormatPr baseColWidth="10" defaultRowHeight="14.5" x14ac:dyDescent="0.35"/>
  <cols>
    <col min="1" max="1" width="31.08984375" customWidth="1"/>
    <col min="2" max="2" width="36.81640625" customWidth="1"/>
    <col min="3" max="3" width="35.7265625" customWidth="1"/>
  </cols>
  <sheetData>
    <row r="1" spans="1:4" x14ac:dyDescent="0.35">
      <c r="A1" s="1" t="s">
        <v>145</v>
      </c>
      <c r="B1" s="1" t="s">
        <v>146</v>
      </c>
      <c r="C1" s="1" t="s">
        <v>147</v>
      </c>
      <c r="D1" s="45"/>
    </row>
    <row r="2" spans="1:4" ht="72.5" x14ac:dyDescent="0.35">
      <c r="A2" s="2" t="s">
        <v>148</v>
      </c>
      <c r="B2" s="2" t="s">
        <v>224</v>
      </c>
      <c r="C2" s="2" t="s">
        <v>225</v>
      </c>
      <c r="D2" s="45"/>
    </row>
    <row r="3" spans="1:4" ht="58" x14ac:dyDescent="0.35">
      <c r="A3" s="2" t="s">
        <v>226</v>
      </c>
      <c r="B3" s="2" t="s">
        <v>227</v>
      </c>
      <c r="C3" s="2" t="s">
        <v>228</v>
      </c>
      <c r="D3" s="45"/>
    </row>
    <row r="4" spans="1:4" ht="58" x14ac:dyDescent="0.35">
      <c r="A4" s="2" t="s">
        <v>229</v>
      </c>
      <c r="B4" s="2" t="s">
        <v>230</v>
      </c>
      <c r="C4" s="2" t="s">
        <v>231</v>
      </c>
      <c r="D4" s="45"/>
    </row>
    <row r="5" spans="1:4" ht="58" x14ac:dyDescent="0.35">
      <c r="A5" s="2" t="s">
        <v>232</v>
      </c>
      <c r="B5" s="2" t="s">
        <v>233</v>
      </c>
      <c r="C5" s="2" t="s">
        <v>234</v>
      </c>
      <c r="D5" s="45"/>
    </row>
    <row r="6" spans="1:4" ht="43.5" x14ac:dyDescent="0.35">
      <c r="A6" s="2" t="s">
        <v>235</v>
      </c>
      <c r="B6" s="2" t="s">
        <v>236</v>
      </c>
      <c r="C6" s="2" t="s">
        <v>149</v>
      </c>
      <c r="D6" s="4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C78AF-86EC-4799-9F2C-58F3B9856EA2}">
  <dimension ref="A1:E53"/>
  <sheetViews>
    <sheetView tabSelected="1" zoomScale="58" workbookViewId="0">
      <selection activeCell="D8" sqref="D8"/>
    </sheetView>
  </sheetViews>
  <sheetFormatPr baseColWidth="10" defaultRowHeight="14.5" x14ac:dyDescent="0.35"/>
  <cols>
    <col min="1" max="1" width="46.36328125" style="4" customWidth="1"/>
    <col min="2" max="2" width="53.1796875" style="3" customWidth="1"/>
    <col min="3" max="3" width="18.26953125" style="78" customWidth="1"/>
    <col min="4" max="4" width="69.36328125" customWidth="1"/>
    <col min="5" max="5" width="28.26953125" customWidth="1"/>
    <col min="6" max="6" width="10.90625" customWidth="1"/>
  </cols>
  <sheetData>
    <row r="1" spans="1:5" ht="23" customHeight="1" x14ac:dyDescent="0.35">
      <c r="A1" s="1" t="s">
        <v>242</v>
      </c>
      <c r="B1" s="76" t="s">
        <v>243</v>
      </c>
      <c r="C1" s="77" t="s">
        <v>244</v>
      </c>
    </row>
    <row r="2" spans="1:5" ht="27.5" customHeight="1" x14ac:dyDescent="0.35">
      <c r="A2" s="4" t="s">
        <v>245</v>
      </c>
      <c r="C2" s="80">
        <v>0.45</v>
      </c>
      <c r="D2" s="95" t="s">
        <v>296</v>
      </c>
      <c r="E2" s="95"/>
    </row>
    <row r="3" spans="1:5" ht="23" customHeight="1" x14ac:dyDescent="0.35">
      <c r="A3" s="4" t="s">
        <v>246</v>
      </c>
      <c r="C3" s="79"/>
      <c r="D3" s="95"/>
      <c r="E3" s="95"/>
    </row>
    <row r="4" spans="1:5" ht="31.5" customHeight="1" x14ac:dyDescent="0.35">
      <c r="A4" s="4" t="s">
        <v>294</v>
      </c>
      <c r="B4" s="3" t="s">
        <v>295</v>
      </c>
      <c r="C4" s="79">
        <v>5</v>
      </c>
      <c r="D4" s="95"/>
      <c r="E4" s="95"/>
    </row>
    <row r="5" spans="1:5" ht="23" customHeight="1" x14ac:dyDescent="0.35">
      <c r="A5" s="4" t="s">
        <v>247</v>
      </c>
      <c r="C5" s="79"/>
      <c r="D5" s="95"/>
      <c r="E5" s="95"/>
    </row>
    <row r="6" spans="1:5" ht="23" customHeight="1" x14ac:dyDescent="0.35">
      <c r="A6" s="4" t="s">
        <v>248</v>
      </c>
      <c r="B6" s="28">
        <v>0.13619999999999999</v>
      </c>
      <c r="C6" s="79">
        <v>4</v>
      </c>
      <c r="D6" s="95"/>
      <c r="E6" s="95"/>
    </row>
    <row r="7" spans="1:5" ht="23" customHeight="1" x14ac:dyDescent="0.35">
      <c r="A7" s="4" t="s">
        <v>249</v>
      </c>
      <c r="C7" s="86" t="s">
        <v>329</v>
      </c>
    </row>
    <row r="8" spans="1:5" ht="28.5" customHeight="1" x14ac:dyDescent="0.35">
      <c r="A8" s="4" t="s">
        <v>250</v>
      </c>
      <c r="C8" s="79"/>
      <c r="E8" s="85"/>
    </row>
    <row r="9" spans="1:5" ht="30.5" customHeight="1" x14ac:dyDescent="0.35">
      <c r="A9" s="4" t="s">
        <v>251</v>
      </c>
      <c r="B9" s="3" t="s">
        <v>297</v>
      </c>
      <c r="C9" s="79">
        <v>5</v>
      </c>
      <c r="D9" t="s">
        <v>299</v>
      </c>
    </row>
    <row r="10" spans="1:5" ht="23" customHeight="1" x14ac:dyDescent="0.35">
      <c r="A10" s="4" t="s">
        <v>252</v>
      </c>
      <c r="C10" s="79"/>
    </row>
    <row r="11" spans="1:5" ht="28" customHeight="1" x14ac:dyDescent="0.35">
      <c r="A11" s="4" t="s">
        <v>253</v>
      </c>
      <c r="B11" s="3" t="s">
        <v>302</v>
      </c>
      <c r="C11" s="79"/>
    </row>
    <row r="12" spans="1:5" ht="28.5" customHeight="1" x14ac:dyDescent="0.35">
      <c r="A12" s="4" t="s">
        <v>254</v>
      </c>
      <c r="C12" s="80">
        <v>0.53333333333333333</v>
      </c>
      <c r="D12" t="s">
        <v>303</v>
      </c>
    </row>
    <row r="13" spans="1:5" ht="23" customHeight="1" x14ac:dyDescent="0.35">
      <c r="A13" s="4" t="s">
        <v>255</v>
      </c>
      <c r="C13" s="79"/>
    </row>
    <row r="14" spans="1:5" ht="23" customHeight="1" x14ac:dyDescent="0.35">
      <c r="A14" s="4" t="s">
        <v>256</v>
      </c>
      <c r="B14" s="54" t="s">
        <v>298</v>
      </c>
      <c r="C14" s="79">
        <v>2</v>
      </c>
    </row>
    <row r="15" spans="1:5" ht="23" customHeight="1" x14ac:dyDescent="0.35">
      <c r="A15" s="4" t="s">
        <v>257</v>
      </c>
      <c r="C15" s="79"/>
    </row>
    <row r="16" spans="1:5" ht="23" customHeight="1" x14ac:dyDescent="0.35">
      <c r="A16" s="4" t="s">
        <v>258</v>
      </c>
      <c r="B16" s="54" t="s">
        <v>300</v>
      </c>
      <c r="C16" s="79">
        <v>2</v>
      </c>
    </row>
    <row r="17" spans="1:4" ht="23" customHeight="1" x14ac:dyDescent="0.35">
      <c r="A17" s="4" t="s">
        <v>259</v>
      </c>
      <c r="B17" s="54" t="s">
        <v>323</v>
      </c>
      <c r="C17" s="79">
        <v>2</v>
      </c>
    </row>
    <row r="18" spans="1:4" ht="23" customHeight="1" x14ac:dyDescent="0.35">
      <c r="A18" s="4" t="s">
        <v>260</v>
      </c>
      <c r="B18" s="54" t="s">
        <v>301</v>
      </c>
      <c r="C18" s="79">
        <v>0</v>
      </c>
    </row>
    <row r="19" spans="1:4" ht="23" customHeight="1" x14ac:dyDescent="0.35">
      <c r="A19" s="4" t="s">
        <v>261</v>
      </c>
      <c r="C19" s="79"/>
    </row>
    <row r="20" spans="1:4" ht="28" customHeight="1" x14ac:dyDescent="0.35">
      <c r="A20" s="4" t="s">
        <v>262</v>
      </c>
      <c r="B20" s="3">
        <v>0.99</v>
      </c>
      <c r="C20" s="79">
        <v>2</v>
      </c>
    </row>
    <row r="21" spans="1:4" ht="23" customHeight="1" x14ac:dyDescent="0.35">
      <c r="A21" s="4" t="s">
        <v>263</v>
      </c>
      <c r="C21" s="79"/>
    </row>
    <row r="22" spans="1:4" ht="30" customHeight="1" x14ac:dyDescent="0.35">
      <c r="A22" s="4" t="s">
        <v>264</v>
      </c>
      <c r="B22" s="3" t="s">
        <v>302</v>
      </c>
      <c r="C22" s="79"/>
    </row>
    <row r="23" spans="1:4" ht="26.5" customHeight="1" x14ac:dyDescent="0.35">
      <c r="A23" s="4" t="s">
        <v>265</v>
      </c>
      <c r="B23" s="3" t="s">
        <v>302</v>
      </c>
      <c r="C23" s="79"/>
    </row>
    <row r="24" spans="1:4" ht="23" customHeight="1" x14ac:dyDescent="0.35">
      <c r="A24" s="4" t="s">
        <v>266</v>
      </c>
      <c r="B24" s="3">
        <v>8</v>
      </c>
      <c r="C24" s="79"/>
      <c r="D24" t="s">
        <v>299</v>
      </c>
    </row>
    <row r="25" spans="1:4" ht="23" customHeight="1" x14ac:dyDescent="0.35">
      <c r="A25" s="4" t="s">
        <v>267</v>
      </c>
      <c r="C25" s="80">
        <v>0.55000000000000004</v>
      </c>
    </row>
    <row r="26" spans="1:4" ht="23" customHeight="1" x14ac:dyDescent="0.35">
      <c r="A26" s="4" t="s">
        <v>268</v>
      </c>
      <c r="C26" s="81">
        <v>3</v>
      </c>
    </row>
    <row r="27" spans="1:4" ht="23" customHeight="1" x14ac:dyDescent="0.35">
      <c r="A27" s="4" t="s">
        <v>269</v>
      </c>
      <c r="B27" s="54" t="s">
        <v>304</v>
      </c>
      <c r="C27" s="81">
        <v>2</v>
      </c>
    </row>
    <row r="28" spans="1:4" ht="23" customHeight="1" x14ac:dyDescent="0.35">
      <c r="A28" s="4" t="s">
        <v>270</v>
      </c>
      <c r="B28" s="54" t="s">
        <v>305</v>
      </c>
      <c r="C28" s="81">
        <v>1</v>
      </c>
    </row>
    <row r="29" spans="1:4" ht="29" customHeight="1" x14ac:dyDescent="0.35">
      <c r="A29" s="4" t="s">
        <v>271</v>
      </c>
      <c r="C29" s="81">
        <v>3</v>
      </c>
    </row>
    <row r="30" spans="1:4" ht="23" customHeight="1" x14ac:dyDescent="0.35">
      <c r="A30" s="4" t="s">
        <v>272</v>
      </c>
      <c r="B30" s="54" t="s">
        <v>306</v>
      </c>
      <c r="C30" s="81">
        <v>2</v>
      </c>
    </row>
    <row r="31" spans="1:4" ht="23" customHeight="1" x14ac:dyDescent="0.35">
      <c r="A31" s="4" t="s">
        <v>273</v>
      </c>
      <c r="B31" s="54" t="s">
        <v>307</v>
      </c>
      <c r="C31" s="81">
        <v>1</v>
      </c>
    </row>
    <row r="32" spans="1:4" ht="23" customHeight="1" x14ac:dyDescent="0.35">
      <c r="A32" s="4" t="s">
        <v>274</v>
      </c>
      <c r="C32" s="81">
        <v>4</v>
      </c>
    </row>
    <row r="33" spans="1:3" ht="23" customHeight="1" x14ac:dyDescent="0.35">
      <c r="A33" s="4" t="s">
        <v>275</v>
      </c>
      <c r="B33" s="54" t="s">
        <v>308</v>
      </c>
      <c r="C33" s="81">
        <v>2</v>
      </c>
    </row>
    <row r="34" spans="1:3" ht="27" customHeight="1" x14ac:dyDescent="0.35">
      <c r="A34" s="4" t="s">
        <v>276</v>
      </c>
      <c r="B34" s="54" t="s">
        <v>309</v>
      </c>
      <c r="C34" s="81">
        <v>2</v>
      </c>
    </row>
    <row r="35" spans="1:3" ht="27.5" customHeight="1" x14ac:dyDescent="0.35">
      <c r="A35" s="4" t="s">
        <v>277</v>
      </c>
      <c r="C35" s="81">
        <v>1</v>
      </c>
    </row>
    <row r="36" spans="1:3" ht="23" customHeight="1" x14ac:dyDescent="0.35">
      <c r="A36" s="4" t="s">
        <v>278</v>
      </c>
      <c r="B36" s="54" t="s">
        <v>310</v>
      </c>
      <c r="C36" s="81">
        <v>1</v>
      </c>
    </row>
    <row r="37" spans="1:3" ht="23" customHeight="1" x14ac:dyDescent="0.35">
      <c r="A37" s="4" t="s">
        <v>279</v>
      </c>
      <c r="B37" s="54" t="s">
        <v>311</v>
      </c>
      <c r="C37" s="81">
        <v>0</v>
      </c>
    </row>
    <row r="38" spans="1:3" ht="23" customHeight="1" x14ac:dyDescent="0.35">
      <c r="A38" s="4" t="s">
        <v>280</v>
      </c>
      <c r="C38" s="82" t="s">
        <v>320</v>
      </c>
    </row>
    <row r="39" spans="1:3" ht="23" customHeight="1" x14ac:dyDescent="0.35">
      <c r="A39" s="4" t="s">
        <v>281</v>
      </c>
      <c r="C39" s="81">
        <v>8</v>
      </c>
    </row>
    <row r="40" spans="1:3" ht="23" customHeight="1" x14ac:dyDescent="0.35">
      <c r="A40" s="4" t="s">
        <v>282</v>
      </c>
      <c r="B40" s="54" t="s">
        <v>312</v>
      </c>
      <c r="C40" s="81">
        <v>2</v>
      </c>
    </row>
    <row r="41" spans="1:3" ht="23" customHeight="1" x14ac:dyDescent="0.35">
      <c r="A41" s="4" t="s">
        <v>283</v>
      </c>
      <c r="B41" s="54" t="s">
        <v>313</v>
      </c>
      <c r="C41" s="81">
        <v>1.5</v>
      </c>
    </row>
    <row r="42" spans="1:3" ht="23" customHeight="1" x14ac:dyDescent="0.35">
      <c r="A42" s="4" t="s">
        <v>284</v>
      </c>
      <c r="B42" s="54" t="s">
        <v>314</v>
      </c>
      <c r="C42" s="79">
        <v>1.5</v>
      </c>
    </row>
    <row r="43" spans="1:3" ht="23" customHeight="1" x14ac:dyDescent="0.35">
      <c r="A43" s="4" t="s">
        <v>285</v>
      </c>
      <c r="B43" s="54" t="s">
        <v>315</v>
      </c>
      <c r="C43" s="79">
        <v>2</v>
      </c>
    </row>
    <row r="44" spans="1:3" ht="23" customHeight="1" x14ac:dyDescent="0.35">
      <c r="A44" s="4" t="s">
        <v>286</v>
      </c>
      <c r="B44" s="54" t="s">
        <v>316</v>
      </c>
      <c r="C44" s="79">
        <v>1</v>
      </c>
    </row>
    <row r="45" spans="1:3" ht="23" customHeight="1" x14ac:dyDescent="0.35">
      <c r="A45" s="4" t="s">
        <v>287</v>
      </c>
      <c r="C45" s="79">
        <v>5</v>
      </c>
    </row>
    <row r="46" spans="1:3" ht="23" customHeight="1" x14ac:dyDescent="0.35">
      <c r="A46" s="4" t="s">
        <v>288</v>
      </c>
      <c r="B46" s="54" t="s">
        <v>317</v>
      </c>
      <c r="C46" s="79">
        <v>2</v>
      </c>
    </row>
    <row r="47" spans="1:3" ht="23" customHeight="1" x14ac:dyDescent="0.35">
      <c r="A47" s="4" t="s">
        <v>289</v>
      </c>
      <c r="C47" s="79">
        <v>2</v>
      </c>
    </row>
    <row r="48" spans="1:3" ht="23" customHeight="1" x14ac:dyDescent="0.35">
      <c r="A48" s="4" t="s">
        <v>290</v>
      </c>
      <c r="B48" s="54" t="s">
        <v>318</v>
      </c>
      <c r="C48" s="79">
        <v>1</v>
      </c>
    </row>
    <row r="49" spans="1:3" ht="23" customHeight="1" x14ac:dyDescent="0.35">
      <c r="A49" s="4" t="s">
        <v>291</v>
      </c>
      <c r="C49" s="79">
        <v>1</v>
      </c>
    </row>
    <row r="50" spans="1:3" ht="23" customHeight="1" x14ac:dyDescent="0.35">
      <c r="A50" s="4" t="s">
        <v>292</v>
      </c>
      <c r="B50" s="54" t="s">
        <v>319</v>
      </c>
      <c r="C50" s="79">
        <v>1</v>
      </c>
    </row>
    <row r="51" spans="1:3" ht="23" customHeight="1" x14ac:dyDescent="0.35">
      <c r="A51" s="4" t="s">
        <v>293</v>
      </c>
      <c r="C51" s="80">
        <v>0.55294117647058827</v>
      </c>
    </row>
    <row r="52" spans="1:3" ht="23" customHeight="1" x14ac:dyDescent="0.35">
      <c r="A52" s="4" t="s">
        <v>321</v>
      </c>
      <c r="C52" s="80" t="s">
        <v>322</v>
      </c>
    </row>
    <row r="53" spans="1:3" ht="28.5" customHeight="1" x14ac:dyDescent="0.35"/>
  </sheetData>
  <mergeCells count="1">
    <mergeCell ref="D2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Données</vt:lpstr>
      <vt:lpstr>Tableaux de synthèse</vt:lpstr>
      <vt:lpstr>FCFF</vt:lpstr>
      <vt:lpstr>Valorisation</vt:lpstr>
      <vt:lpstr>Comparable</vt:lpstr>
      <vt:lpstr>Sensibilité</vt:lpstr>
      <vt:lpstr>ESG</vt:lpstr>
      <vt:lpstr>Stock réputation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Coppée</dc:creator>
  <cp:lastModifiedBy>Simon Coppée</cp:lastModifiedBy>
  <cp:lastPrinted>2026-05-27T13:12:34Z</cp:lastPrinted>
  <dcterms:created xsi:type="dcterms:W3CDTF">2026-03-14T15:34:13Z</dcterms:created>
  <dcterms:modified xsi:type="dcterms:W3CDTF">2026-05-27T14:43:59Z</dcterms:modified>
</cp:coreProperties>
</file>