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ph\OneDrive\Bureau\nouveau tfe\"/>
    </mc:Choice>
  </mc:AlternateContent>
  <xr:revisionPtr revIDLastSave="0" documentId="13_ncr:1_{D8CC38AF-730D-49CE-BBD3-EEB5CECB556F}" xr6:coauthVersionLast="47" xr6:coauthVersionMax="47" xr10:uidLastSave="{00000000-0000-0000-0000-000000000000}"/>
  <bookViews>
    <workbookView xWindow="-120" yWindow="-120" windowWidth="29040" windowHeight="15840" tabRatio="627" activeTab="5" xr2:uid="{1F0257EB-F2C2-499F-BEEF-F74280C1C2A2}"/>
  </bookViews>
  <sheets>
    <sheet name="1.Tableau impact PEB" sheetId="4" r:id="rId1"/>
    <sheet name="2.Calcul rentabilité" sheetId="2" r:id="rId2"/>
    <sheet name="3.Scénario actif financier" sheetId="5" r:id="rId3"/>
    <sheet name="4.Scénario valeur immobilière" sheetId="6" r:id="rId4"/>
    <sheet name="5.Sensibilité de la VAN" sheetId="11" r:id="rId5"/>
    <sheet name="6.Taux rf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4" l="1"/>
  <c r="G25" i="11"/>
  <c r="F25" i="11"/>
  <c r="E25" i="11"/>
  <c r="D25" i="11"/>
  <c r="D31" i="11"/>
  <c r="E31" i="11" s="1"/>
  <c r="K15" i="11"/>
  <c r="K14" i="11"/>
  <c r="C18" i="11"/>
  <c r="D18" i="11"/>
  <c r="E18" i="11"/>
  <c r="F18" i="11"/>
  <c r="G18" i="11"/>
  <c r="H18" i="11"/>
  <c r="I18" i="11"/>
  <c r="J18" i="11"/>
  <c r="B18" i="11"/>
  <c r="C17" i="11"/>
  <c r="D17" i="11"/>
  <c r="E17" i="11"/>
  <c r="F17" i="11"/>
  <c r="G17" i="11"/>
  <c r="H17" i="11"/>
  <c r="I17" i="11"/>
  <c r="J17" i="11"/>
  <c r="B17" i="11"/>
  <c r="D29" i="11"/>
  <c r="D32" i="11"/>
  <c r="D33" i="11"/>
  <c r="D30" i="11"/>
  <c r="D26" i="11"/>
  <c r="D27" i="11"/>
  <c r="D24" i="11"/>
  <c r="C16" i="11"/>
  <c r="D16" i="11"/>
  <c r="E16" i="11"/>
  <c r="F16" i="11"/>
  <c r="G16" i="11"/>
  <c r="H16" i="11"/>
  <c r="I16" i="11"/>
  <c r="J16" i="11"/>
  <c r="B16" i="11"/>
  <c r="K12" i="11"/>
  <c r="K16" i="11" s="1"/>
  <c r="C29" i="5"/>
  <c r="G64" i="2"/>
  <c r="G66" i="2" s="1"/>
  <c r="B35" i="2"/>
  <c r="B14" i="2"/>
  <c r="B5" i="2"/>
  <c r="F37" i="6"/>
  <c r="G37" i="6"/>
  <c r="H37" i="6"/>
  <c r="I37" i="6"/>
  <c r="J37" i="6"/>
  <c r="D37" i="6"/>
  <c r="C37" i="6"/>
  <c r="D36" i="6"/>
  <c r="F36" i="6"/>
  <c r="G36" i="6"/>
  <c r="H36" i="6"/>
  <c r="I36" i="6"/>
  <c r="J36" i="6"/>
  <c r="C36" i="6"/>
  <c r="C35" i="6"/>
  <c r="D35" i="6"/>
  <c r="F35" i="6"/>
  <c r="G35" i="6"/>
  <c r="H35" i="6"/>
  <c r="I35" i="6"/>
  <c r="J35" i="6"/>
  <c r="K29" i="6"/>
  <c r="E29" i="6"/>
  <c r="B28" i="6"/>
  <c r="B36" i="6" s="1"/>
  <c r="B32" i="5"/>
  <c r="B33" i="5"/>
  <c r="B29" i="5"/>
  <c r="D19" i="4"/>
  <c r="D17" i="4"/>
  <c r="B17" i="6"/>
  <c r="K33" i="6" s="1"/>
  <c r="C17" i="6"/>
  <c r="D17" i="6" s="1"/>
  <c r="K32" i="6" s="1"/>
  <c r="B8" i="6"/>
  <c r="B3" i="6" s="1"/>
  <c r="B12" i="5"/>
  <c r="B11" i="5"/>
  <c r="B10" i="5"/>
  <c r="B9" i="5"/>
  <c r="B8" i="5"/>
  <c r="B7" i="5"/>
  <c r="B6" i="5"/>
  <c r="B5" i="5"/>
  <c r="B4" i="5"/>
  <c r="B3" i="5"/>
  <c r="D3" i="5" s="1"/>
  <c r="B7" i="4"/>
  <c r="B9" i="4"/>
  <c r="B8" i="4"/>
  <c r="B6" i="4"/>
  <c r="B10" i="4" s="1"/>
  <c r="B5" i="4"/>
  <c r="B11" i="4" s="1"/>
  <c r="K18" i="11" l="1"/>
  <c r="G24" i="11" s="1"/>
  <c r="K17" i="11"/>
  <c r="F29" i="11" s="1"/>
  <c r="E24" i="11"/>
  <c r="E27" i="11"/>
  <c r="E33" i="11"/>
  <c r="E26" i="11"/>
  <c r="E32" i="11"/>
  <c r="E28" i="11"/>
  <c r="E30" i="11"/>
  <c r="E29" i="11"/>
  <c r="B12" i="4"/>
  <c r="B13" i="2" s="1"/>
  <c r="K76" i="2"/>
  <c r="K36" i="6"/>
  <c r="K37" i="6"/>
  <c r="B35" i="6"/>
  <c r="B37" i="6"/>
  <c r="E35" i="6"/>
  <c r="E36" i="6"/>
  <c r="E37" i="6"/>
  <c r="K31" i="6"/>
  <c r="K35" i="6" s="1"/>
  <c r="B30" i="5"/>
  <c r="B5" i="6"/>
  <c r="B11" i="6" s="1"/>
  <c r="E3" i="5"/>
  <c r="F3" i="5" s="1"/>
  <c r="D4" i="5" s="1"/>
  <c r="G79" i="2"/>
  <c r="H79" i="2"/>
  <c r="I79" i="2"/>
  <c r="J79" i="2"/>
  <c r="G78" i="2"/>
  <c r="H78" i="2"/>
  <c r="I78" i="2"/>
  <c r="J78" i="2"/>
  <c r="C15" i="3"/>
  <c r="C27" i="3"/>
  <c r="C39" i="3"/>
  <c r="C51" i="3"/>
  <c r="C63" i="3"/>
  <c r="C75" i="3"/>
  <c r="C87" i="3"/>
  <c r="C99" i="3"/>
  <c r="C111" i="3"/>
  <c r="C123" i="3"/>
  <c r="B127" i="3"/>
  <c r="B128" i="3" s="1"/>
  <c r="E46" i="2"/>
  <c r="C46" i="2"/>
  <c r="B46" i="2"/>
  <c r="B47" i="2" s="1"/>
  <c r="E44" i="2"/>
  <c r="F75" i="2" s="1"/>
  <c r="F79" i="2" s="1"/>
  <c r="E43" i="2"/>
  <c r="D43" i="2"/>
  <c r="D47" i="2" s="1"/>
  <c r="F42" i="2"/>
  <c r="F47" i="2" s="1"/>
  <c r="C41" i="2"/>
  <c r="F31" i="11" l="1"/>
  <c r="G31" i="11"/>
  <c r="G29" i="11"/>
  <c r="G32" i="11"/>
  <c r="G26" i="11"/>
  <c r="G33" i="11"/>
  <c r="F32" i="11"/>
  <c r="G28" i="11"/>
  <c r="G27" i="11"/>
  <c r="F30" i="11"/>
  <c r="F24" i="11"/>
  <c r="F28" i="11"/>
  <c r="F33" i="11"/>
  <c r="F27" i="11"/>
  <c r="F26" i="11"/>
  <c r="G30" i="11"/>
  <c r="B40" i="6"/>
  <c r="C75" i="2"/>
  <c r="C78" i="2" s="1"/>
  <c r="B41" i="6"/>
  <c r="B39" i="6"/>
  <c r="C18" i="6"/>
  <c r="C19" i="6" s="1"/>
  <c r="D18" i="6"/>
  <c r="D19" i="6" s="1"/>
  <c r="B18" i="6"/>
  <c r="B19" i="6" s="1"/>
  <c r="E4" i="5"/>
  <c r="F4" i="5" s="1"/>
  <c r="D5" i="5" s="1"/>
  <c r="F78" i="2"/>
  <c r="D75" i="2"/>
  <c r="D79" i="2" s="1"/>
  <c r="E75" i="2"/>
  <c r="E79" i="2" s="1"/>
  <c r="K75" i="2"/>
  <c r="K79" i="2" s="1"/>
  <c r="B15" i="2"/>
  <c r="B60" i="2"/>
  <c r="C47" i="2"/>
  <c r="E47" i="2"/>
  <c r="C79" i="2" l="1"/>
  <c r="E5" i="5"/>
  <c r="F5" i="5" s="1"/>
  <c r="D6" i="5" s="1"/>
  <c r="B48" i="2"/>
  <c r="E78" i="2"/>
  <c r="K78" i="2"/>
  <c r="D78" i="2"/>
  <c r="B77" i="2"/>
  <c r="B79" i="2" s="1"/>
  <c r="B80" i="2" s="1"/>
  <c r="B16" i="2"/>
  <c r="B61" i="2" l="1"/>
  <c r="B17" i="2"/>
  <c r="B50" i="2"/>
  <c r="E6" i="5"/>
  <c r="F6" i="5" s="1"/>
  <c r="D7" i="5" s="1"/>
  <c r="E7" i="5" s="1"/>
  <c r="F7" i="5" s="1"/>
  <c r="D8" i="5" s="1"/>
  <c r="E8" i="5" s="1"/>
  <c r="F8" i="5" s="1"/>
  <c r="D9" i="5" s="1"/>
  <c r="B78" i="2"/>
  <c r="B52" i="2" l="1"/>
  <c r="B62" i="2"/>
  <c r="E9" i="5"/>
  <c r="F9" i="5" s="1"/>
  <c r="D10" i="5" s="1"/>
  <c r="B64" i="2"/>
  <c r="B65" i="2" s="1"/>
  <c r="B63" i="2"/>
  <c r="E10" i="5" l="1"/>
  <c r="F10" i="5" s="1"/>
  <c r="D11" i="5" s="1"/>
  <c r="E11" i="5" l="1"/>
  <c r="F11" i="5" s="1"/>
  <c r="D12" i="5" s="1"/>
  <c r="E12" i="5" l="1"/>
  <c r="F12" i="5" s="1"/>
  <c r="B14" i="5" s="1"/>
  <c r="C18" i="5" l="1"/>
  <c r="B34" i="5" s="1"/>
  <c r="C30" i="5" l="1"/>
  <c r="B31" i="5" s="1"/>
</calcChain>
</file>

<file path=xl/sharedStrings.xml><?xml version="1.0" encoding="utf-8"?>
<sst xmlns="http://schemas.openxmlformats.org/spreadsheetml/2006/main" count="429" uniqueCount="268">
  <si>
    <t>https://statbel.fgov.be/sites/default/files/files/documents/Consumptieprijzen/3.1%20Consumptieprijsindex/Historiek-1920-conv-2025.xls</t>
  </si>
  <si>
    <t>électricité</t>
  </si>
  <si>
    <t>toiture</t>
  </si>
  <si>
    <t>système</t>
  </si>
  <si>
    <t>autres</t>
  </si>
  <si>
    <t>menuiserie</t>
  </si>
  <si>
    <t>2021-2024</t>
  </si>
  <si>
    <t>pv</t>
  </si>
  <si>
    <t>cf</t>
  </si>
  <si>
    <t>pa</t>
  </si>
  <si>
    <t>travaux</t>
  </si>
  <si>
    <t xml:space="preserve">frais </t>
  </si>
  <si>
    <t>TRI</t>
  </si>
  <si>
    <t>Dec 2025</t>
  </si>
  <si>
    <t>Aug 2025</t>
  </si>
  <si>
    <t>May 2025</t>
  </si>
  <si>
    <t>Apr 2025</t>
  </si>
  <si>
    <t>Feb 2025</t>
  </si>
  <si>
    <t>Dec 2024</t>
  </si>
  <si>
    <t>Aug 2024</t>
  </si>
  <si>
    <t>May 2024</t>
  </si>
  <si>
    <t>Apr 2024</t>
  </si>
  <si>
    <t>Feb 2024</t>
  </si>
  <si>
    <t>Dec 2023</t>
  </si>
  <si>
    <t>Aug 2023</t>
  </si>
  <si>
    <t>May 2023</t>
  </si>
  <si>
    <t>Apr 2023</t>
  </si>
  <si>
    <t>Feb 2023</t>
  </si>
  <si>
    <t>Dec 2022</t>
  </si>
  <si>
    <t>Aug 2022</t>
  </si>
  <si>
    <t>May 2022</t>
  </si>
  <si>
    <t>Apr 2022</t>
  </si>
  <si>
    <t>Feb 2022</t>
  </si>
  <si>
    <t>Dec 2021</t>
  </si>
  <si>
    <t>Aug 2021</t>
  </si>
  <si>
    <t>May 2021</t>
  </si>
  <si>
    <t>Apr 2021</t>
  </si>
  <si>
    <t>Feb 2021</t>
  </si>
  <si>
    <t>Dec 2020</t>
  </si>
  <si>
    <t>Aug 2020</t>
  </si>
  <si>
    <t>May 2020</t>
  </si>
  <si>
    <t>Apr 2020</t>
  </si>
  <si>
    <t>Feb 2020</t>
  </si>
  <si>
    <t>Dec 2019</t>
  </si>
  <si>
    <t>Aug 2019</t>
  </si>
  <si>
    <t>May 2019</t>
  </si>
  <si>
    <t>Apr 2019</t>
  </si>
  <si>
    <t>Feb 2019</t>
  </si>
  <si>
    <t>Dec 2018</t>
  </si>
  <si>
    <t>Aug 2018</t>
  </si>
  <si>
    <t>May 2018</t>
  </si>
  <si>
    <t>Apr 2018</t>
  </si>
  <si>
    <t>Feb 2018</t>
  </si>
  <si>
    <t>Dec 2017</t>
  </si>
  <si>
    <t>Aug 2017</t>
  </si>
  <si>
    <t>May 2017</t>
  </si>
  <si>
    <t>Apr 2017</t>
  </si>
  <si>
    <t>Feb 2017</t>
  </si>
  <si>
    <t>Dec 2016</t>
  </si>
  <si>
    <t>Aug 2016</t>
  </si>
  <si>
    <t>May 2016</t>
  </si>
  <si>
    <t>Apr 2016</t>
  </si>
  <si>
    <t>Feb 2016</t>
  </si>
  <si>
    <t>%</t>
  </si>
  <si>
    <t>t</t>
  </si>
  <si>
    <t>année</t>
  </si>
  <si>
    <t>cout total</t>
  </si>
  <si>
    <t>moyenne annuelle du taux de rendement (en%)</t>
  </si>
  <si>
    <t>totaux des montants payés par poste (tvac)</t>
  </si>
  <si>
    <t>non</t>
  </si>
  <si>
    <t>oui</t>
  </si>
  <si>
    <t>total des travaux énergétiques</t>
  </si>
  <si>
    <t>total</t>
  </si>
  <si>
    <t>frais d'acquisition  =</t>
  </si>
  <si>
    <t>https://data.ecb.europa.eu/data/datasets/IRS/IRS.M.BE.L.L40.CI.0000.EUR.N.Z?chart_props=W3sibm9kZUlkIjoiNTE3NTU1IiwicHJvcGVydGllcyI6W3siY29sb3JIZXgiOiIiLCJjb2xvclR5cGUiOiIiLCJjaGFydFR5cGUiOiJsaW5lY2hhcnQiLCJsaW5lU3R5bGUiOiJTb2xpZCIsImxpbmVXaWR0aCI6IjEuNSIsImF4aXNQb3NpdGlvbiI6ImxlZnQiLCJvYnNlcnZhdGlvblZhbHVlIjpmYWxzZSwiZGF0ZXMiOlsiMjAxNS0xMi0zMVQyMzowMDowMC4wMDBaIiwiMjAyNS0xMi0zMFQyMzowMDowMC4wMDBaIl0sImlzVGRhdGEiOmZhbHNlLCJtb2RpZmllZFVuaXRUeXBlIjoiIiwieWVhciI6IiIsInN0YXJ0RGF0ZSI6IjE5ODktMDYtMzAiLCJlbmREYXRlIjoiMjAyNi0wMi0yOCIsInNldERhdGUiOnRydWUsInNob3dUYWJsZURhdGEiOnRydWUsImNoYW5nZU1vZGUiOmZhbHNlLCJzaG93TWVudVN0eWxlQ2hhcnQiOmZhbHNlLCJkaXNwbGF5TW9iaWxlQ2hhcnQiOnRydWUsInNjcmVlblNpemUiOiJtYXgiLCJzY3JlZW5XaWR0aCI6MTkxMiwic2hvd1RkYXRhIjpmYWxzZSwidHJhbnNmb3JtZWRGcmVxdWVuY3kiOiJub25lIiwidHJhbnNmb3JtZWRVbml0Ijoibm9uZSIsImZyZXF1ZW5jeSI6Im5vbmUiLCJ1bml0Ijoibm9uZSIsIm1vZGlmaWVkIjoiZmFsc2UiLCJzZXJpZXNLZXkiOiJtb250aGx5Iiwic2hvd3RhYmxlU3RhdGVCZWZvcmVNYXhTY3JlZW4iOmZhbHNlLCJpc2RhdGFjb21wYXJpc29uIjpmYWxzZSwic2VyaWVzRnJlcXVlbmN5IjoibW9udGhseSIsImludGlhbFNlcmllc0ZyZXF1ZW5jeSI6Im1vbnRobHkiLCJtZXRhZGF0YURlY2ltYWwiOiIyIiwiaXNUYWJsZVNvcnRlZCI6ZmFsc2UsImlzWWVhcmx5VGRhdGEiOmZhbHNlLCJyZXNwb25zZURhdGFFbmREYXRlIjoiMjAyNi0wMi0yOCIsImlzaW5pdGlhbENoYXJ0RGF0YSI6dHJ1ZSwiaXNEYXRlc0Zyb21EYXRlUGlja2VyIjp0cnVlLCJkYXRlUGlja2VyRW5kRGF0ZSI6IjIwMjUtMTItMzEiLCJpc0RhdGVQaWNrZXJFbmREYXRlIjp0cnVlLCJzZXJpZXNrZXlTZXQiOiIiLCJkYXRhc2V0SWQiOiIyMSIsImlzQ2FsbGJhY2siOmZhbHNlLCJpc1NsaWRlclRkYXRhIjp0cnVlLCJpc1NsaWRlckRhdGEiOnRydWUsImlzSW5pdGlhbENoYXJ0RGF0YUZyb21HcmFwaCI6dHJ1ZSwiY2hhcnRTZXJpZXNLZXkiOiJJUlMuTS5CRS5MLkw0MC5DSS4wMDAwLkVVUi5OLloiLCJ0eXBlT2YiOiIifV19XQ%3D%3D</t>
  </si>
  <si>
    <t>Indice des prix à la consommation | Statbel</t>
  </si>
  <si>
    <t>estimation horaire (h)</t>
  </si>
  <si>
    <t xml:space="preserve">supervision des travaux </t>
  </si>
  <si>
    <t>démarches administratives</t>
  </si>
  <si>
    <t>imprévus/divers</t>
  </si>
  <si>
    <t>total des heures estimées</t>
  </si>
  <si>
    <t>h</t>
  </si>
  <si>
    <t>taux horaire pour la gestion du projet</t>
  </si>
  <si>
    <t>€</t>
  </si>
  <si>
    <t xml:space="preserve">coût total de gestion du projet </t>
  </si>
  <si>
    <t xml:space="preserve">Année </t>
  </si>
  <si>
    <t xml:space="preserve">montant investi </t>
  </si>
  <si>
    <t>portefeuille début d'année</t>
  </si>
  <si>
    <t xml:space="preserve">rendement en € </t>
  </si>
  <si>
    <t>portefeuille en fin d'année</t>
  </si>
  <si>
    <t xml:space="preserve">Comparaison des scénarios </t>
  </si>
  <si>
    <t>scénario de placement dans l'actif</t>
  </si>
  <si>
    <t>valeur finale fin 2025</t>
  </si>
  <si>
    <t>prix d'achat (2016)</t>
  </si>
  <si>
    <t>frais d'acquisitions actualisés en 2025</t>
  </si>
  <si>
    <t>frais d'acquisitions(2016)</t>
  </si>
  <si>
    <t>prix d'achat actualisé en 2025</t>
  </si>
  <si>
    <t>Prix de vente</t>
  </si>
  <si>
    <t>scénario</t>
  </si>
  <si>
    <t>réel</t>
  </si>
  <si>
    <t>pessimiste (-15%)</t>
  </si>
  <si>
    <t>gain réel en € constant 2025</t>
  </si>
  <si>
    <t>Indicateur</t>
  </si>
  <si>
    <t>PEB avant travaux</t>
  </si>
  <si>
    <t>PEB après travaux</t>
  </si>
  <si>
    <t>évolution</t>
  </si>
  <si>
    <t>unité</t>
  </si>
  <si>
    <t>LABEL PEB</t>
  </si>
  <si>
    <t>Surface plancher chauffée</t>
  </si>
  <si>
    <t>E</t>
  </si>
  <si>
    <t>B</t>
  </si>
  <si>
    <t>m²</t>
  </si>
  <si>
    <t>(Espec av. réno - Espec apr. réno )/ Espec av. réno</t>
  </si>
  <si>
    <t>Réduction de l'ESPEC (%) =</t>
  </si>
  <si>
    <t>&gt; rénovation profonde</t>
  </si>
  <si>
    <t>Sensibilité prix du bien</t>
  </si>
  <si>
    <t>E-&gt;B</t>
  </si>
  <si>
    <t>iShares European Property Yield UCITS ETF | IPRP</t>
  </si>
  <si>
    <t>unités</t>
  </si>
  <si>
    <t>1.Hypothèses communes</t>
  </si>
  <si>
    <t>VF de l'ETF</t>
  </si>
  <si>
    <t>PA+notaire</t>
  </si>
  <si>
    <t>travaux2025+VF</t>
  </si>
  <si>
    <t>VF du bien</t>
  </si>
  <si>
    <t>2. Scénario variation du PV en fct du coût de la vie</t>
  </si>
  <si>
    <t>PV réel</t>
  </si>
  <si>
    <t>PV optimiste</t>
  </si>
  <si>
    <t>PV pessimiste</t>
  </si>
  <si>
    <t xml:space="preserve">année </t>
  </si>
  <si>
    <t>t=</t>
  </si>
  <si>
    <t>cf réel</t>
  </si>
  <si>
    <t>cf optimiste</t>
  </si>
  <si>
    <t>cf pessimiste</t>
  </si>
  <si>
    <t>TRI PV pessimiste</t>
  </si>
  <si>
    <t>TRI PV optimisé</t>
  </si>
  <si>
    <t>TRI PV réel</t>
  </si>
  <si>
    <t>achat+ frais d'acquisition</t>
  </si>
  <si>
    <t>Espec (consommation spécifique énergie primaire)</t>
  </si>
  <si>
    <t>Prix d'achat en 2016 (valeur nominale)</t>
  </si>
  <si>
    <t>Prix de vente en 2025 (valeur nominale)</t>
  </si>
  <si>
    <t>2. Calcul de la marge brute</t>
  </si>
  <si>
    <t xml:space="preserve">Prix de vente en 2025 </t>
  </si>
  <si>
    <t>(4/5 droits d'enregistrement + 1/5 frais de notaire)</t>
  </si>
  <si>
    <t>12,5% X PA</t>
  </si>
  <si>
    <t>droits d'enregistrement =</t>
  </si>
  <si>
    <t xml:space="preserve">frais d'acquisition = </t>
  </si>
  <si>
    <t>Explication du calcul des frais d'acquisition</t>
  </si>
  <si>
    <t xml:space="preserve">frais de notaire </t>
  </si>
  <si>
    <t>Prix d'achat  en 2016</t>
  </si>
  <si>
    <t>coût des travaux</t>
  </si>
  <si>
    <t>Intégration du coût des travaux et des frais d'acquisition en euros courants de l'année d'apparition du flux.</t>
  </si>
  <si>
    <t>IPC, base 2013 = 100</t>
  </si>
  <si>
    <t>IPC moyen annuel</t>
  </si>
  <si>
    <t>Prix de vente en 2025 (année de référence)</t>
  </si>
  <si>
    <t>IPC moyen annuel 2025 = IPCref</t>
  </si>
  <si>
    <t>IPC moyen annuel 2016 = IPCt= IPC2016</t>
  </si>
  <si>
    <t>IPCt</t>
  </si>
  <si>
    <t>IPCref</t>
  </si>
  <si>
    <t>Prix d'achat actualisé à l'IPC, exprimé en euros constants</t>
  </si>
  <si>
    <t>Postes de travaux</t>
  </si>
  <si>
    <t>Coût des travaux actualisé à l'IPC et exprimé en euros constants 2025</t>
  </si>
  <si>
    <t>Travaux repris par poste et par année</t>
  </si>
  <si>
    <t>Frais d'acquisition payés en 2016 actualisés en euros constants de 2025</t>
  </si>
  <si>
    <t>Total des travaux actualisés à l'IPC en 2025, exprimé en euros constants</t>
  </si>
  <si>
    <t>Prix d'achat en euros constants (2025)</t>
  </si>
  <si>
    <t>Coût total des travaux en euros constants (2025)</t>
  </si>
  <si>
    <t>Gain réel en 2025, en euros constants</t>
  </si>
  <si>
    <t>Prix d'achat</t>
  </si>
  <si>
    <t>Coût total des travaux</t>
  </si>
  <si>
    <t xml:space="preserve">Coût total de gestion du projet </t>
  </si>
  <si>
    <t>Frais d'acquisition</t>
  </si>
  <si>
    <t>Coût total du projet</t>
  </si>
  <si>
    <t>CF</t>
  </si>
  <si>
    <t>1.Répartition du coût des travaux par poste</t>
  </si>
  <si>
    <t>5. Calcul du taux de rendement interne du projet (TRI)</t>
  </si>
  <si>
    <t>1.Données communes</t>
  </si>
  <si>
    <t>Taux sans risque= rf (OLO)</t>
  </si>
  <si>
    <t>TRI du projet réel</t>
  </si>
  <si>
    <t xml:space="preserve"> rf + prime de risque</t>
  </si>
  <si>
    <t>Taux d'actualisation/COC =</t>
  </si>
  <si>
    <t>2. Flux du projet</t>
  </si>
  <si>
    <t>CF négatif</t>
  </si>
  <si>
    <t>CF positif</t>
  </si>
  <si>
    <t>Somme des cf</t>
  </si>
  <si>
    <t>Année</t>
  </si>
  <si>
    <t>Taux sans risque</t>
  </si>
  <si>
    <t>Prime de risque</t>
  </si>
  <si>
    <t>COC= rf+Prime de risque</t>
  </si>
  <si>
    <t>VAN</t>
  </si>
  <si>
    <t>Projet sans risque</t>
  </si>
  <si>
    <t>Projet à risque faible</t>
  </si>
  <si>
    <t>Projet à risque  proche du TRI</t>
  </si>
  <si>
    <t>1. Calcul du taux sans risque moyen sur la période</t>
  </si>
  <si>
    <t>Période analysée</t>
  </si>
  <si>
    <t>Moyenne anuelle</t>
  </si>
  <si>
    <t>Taux OLO mensuel</t>
  </si>
  <si>
    <t>SOURCE:</t>
  </si>
  <si>
    <t>CF positif du scénario pessimiste</t>
  </si>
  <si>
    <t>CF positif du scénario optimiste</t>
  </si>
  <si>
    <t>Somme des cf du scénario pessimiste</t>
  </si>
  <si>
    <t>Somme des cf du scénario optimiste</t>
  </si>
  <si>
    <t>VAN pessimiste</t>
  </si>
  <si>
    <t>VAN optimiste</t>
  </si>
  <si>
    <t>Source:</t>
  </si>
  <si>
    <t>TRI scénario pessimiste</t>
  </si>
  <si>
    <t>TRI scénario optimiste</t>
  </si>
  <si>
    <t>Hypothèses</t>
  </si>
  <si>
    <t>Projet immobilier</t>
  </si>
  <si>
    <t>Tableau de rendement du tracker</t>
  </si>
  <si>
    <t>2.Données PEB CERTIFICATS B1 et B2</t>
  </si>
  <si>
    <t>sources :</t>
  </si>
  <si>
    <t xml:space="preserve">droits d'enregistrement (12,5%) </t>
  </si>
  <si>
    <t>1. Calcul de la plus-value brute en € courants</t>
  </si>
  <si>
    <t>Plus-value brute = PV-PA</t>
  </si>
  <si>
    <t>Marge brute= PV -(PA + coût des travaux + frais d'acquisition)</t>
  </si>
  <si>
    <t>3. Calcul du gain réel par actualisation des flux au coût de la vie (IPC)</t>
  </si>
  <si>
    <t>Prix d'achat en euros courants</t>
  </si>
  <si>
    <t>Gain réel= PV - (PA actualisé + Coût des travaux actualisés + frais d'acquisition actualisés)</t>
  </si>
  <si>
    <t>4. Calcul du Gain réel avec intégration du coût de gestion</t>
  </si>
  <si>
    <t>Hypothèse de coût de gestion de ce projet.</t>
  </si>
  <si>
    <t>Frais d'acquisition actualisés ( droits d'enregistrement + frais de notaire)</t>
  </si>
  <si>
    <t>Coût total actualisé à l'IPC 2025.</t>
  </si>
  <si>
    <t>Gain réel en 2025 avec intégration d'un coût de gestion de 50€/h</t>
  </si>
  <si>
    <t>Toutes les factures figurent en Annexe A et sont reprises par poste</t>
  </si>
  <si>
    <t>poste de travail</t>
  </si>
  <si>
    <t>Travaux énergétiques?</t>
  </si>
  <si>
    <t>total des travaux non énergétiques</t>
  </si>
  <si>
    <t>kWh/m². an</t>
  </si>
  <si>
    <t>CF du projet immobilier</t>
  </si>
  <si>
    <t>Rendement annuel de l'actif (en %)</t>
  </si>
  <si>
    <t>Écart VF (cas-scénario)</t>
  </si>
  <si>
    <t>Écart de TRI</t>
  </si>
  <si>
    <t>IPC moyen 2016</t>
  </si>
  <si>
    <t>IPC moyen 2025</t>
  </si>
  <si>
    <t>facteur d'actualisation IPC 2016/2025</t>
  </si>
  <si>
    <t>coûts de gestion</t>
  </si>
  <si>
    <t>coût des travaux actualisés en 2025</t>
  </si>
  <si>
    <t>coût de gestion</t>
  </si>
  <si>
    <t>Investissement total actualisé en 2025</t>
  </si>
  <si>
    <t>optimiste (+15%)</t>
  </si>
  <si>
    <t>Investissement total actualisé à l'IPC en 2025</t>
  </si>
  <si>
    <t>3.Sensibilité du TRI par rapport à la variation du PV</t>
  </si>
  <si>
    <t xml:space="preserve">travaux réels </t>
  </si>
  <si>
    <t>5.Analyse de la sensibilité de la VAN par rapport aux risques.</t>
  </si>
  <si>
    <t>3. Tableau de sensibilité de la VAN par rapport à la prime de risque</t>
  </si>
  <si>
    <t>Projet à risque élevé</t>
  </si>
  <si>
    <t xml:space="preserve">Taux rf = </t>
  </si>
  <si>
    <t>OLO 1</t>
  </si>
  <si>
    <t>TITLE</t>
  </si>
  <si>
    <t>Long-term interest rate for convergence purposes - Euro</t>
  </si>
  <si>
    <t>SERIES KEY</t>
  </si>
  <si>
    <t>IRS.M.BE.L.L40.CI.0000.EUR.N.Z</t>
  </si>
  <si>
    <t>TIME SERIES PAGE</t>
  </si>
  <si>
    <t>https://data.ecb.europa.eu/data/datasets/IRS/IRS.M.BE.L.L40.CI.0000.EUR.N.Z</t>
  </si>
  <si>
    <t>GEOGRAPHICAL AREA</t>
  </si>
  <si>
    <t>Belgium (BE)</t>
  </si>
  <si>
    <t>FREQUENCY</t>
  </si>
  <si>
    <t>Monthly</t>
  </si>
  <si>
    <t>DATASET</t>
  </si>
  <si>
    <t>IRS</t>
  </si>
  <si>
    <t>DATA SOURCE</t>
  </si>
  <si>
    <t>ESCB</t>
  </si>
  <si>
    <t>COLLECTION TYPE</t>
  </si>
  <si>
    <t>Average of observations through period (A)</t>
  </si>
  <si>
    <t>UNIT</t>
  </si>
  <si>
    <t>Percent</t>
  </si>
  <si>
    <t>LAST UPDATED</t>
  </si>
  <si>
    <t>visites négociations et notaires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</si>
</sst>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3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color rgb="FFC0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C00000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FF0000"/>
      <name val="Calibri"/>
      <family val="2"/>
    </font>
    <font>
      <sz val="11"/>
      <color theme="1"/>
      <name val="Calibri"/>
      <family val="2"/>
    </font>
    <font>
      <sz val="12"/>
      <color rgb="FFFF0000"/>
      <name val="Calibri"/>
      <family val="2"/>
    </font>
    <font>
      <b/>
      <u/>
      <sz val="12"/>
      <color theme="10"/>
      <name val="Calibri"/>
      <family val="2"/>
    </font>
    <font>
      <u/>
      <sz val="12"/>
      <color theme="10"/>
      <name val="Calibri"/>
      <family val="2"/>
    </font>
    <font>
      <sz val="12"/>
      <name val="Calibri"/>
      <family val="2"/>
    </font>
    <font>
      <sz val="12"/>
      <color rgb="FFC00000"/>
      <name val="Calibri"/>
      <family val="2"/>
    </font>
    <font>
      <b/>
      <i/>
      <sz val="12"/>
      <color theme="1"/>
      <name val="Calibri"/>
      <family val="2"/>
    </font>
    <font>
      <i/>
      <sz val="12"/>
      <color theme="1"/>
      <name val="Calibri"/>
      <family val="2"/>
    </font>
    <font>
      <i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2"/>
      <color theme="1"/>
      <name val="Aptos Narrow"/>
      <family val="2"/>
      <charset val="1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i/>
      <sz val="11"/>
      <color theme="1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1"/>
      <color indexed="8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/>
  </cellStyleXfs>
  <cellXfs count="175">
    <xf numFmtId="0" fontId="0" fillId="0" borderId="0" xfId="0"/>
    <xf numFmtId="0" fontId="2" fillId="0" borderId="0" xfId="1"/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0" xfId="2"/>
    <xf numFmtId="17" fontId="4" fillId="0" borderId="0" xfId="2" applyNumberFormat="1"/>
    <xf numFmtId="0" fontId="5" fillId="0" borderId="0" xfId="0" applyFont="1"/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10" fontId="0" fillId="0" borderId="0" xfId="0" applyNumberFormat="1"/>
    <xf numFmtId="2" fontId="0" fillId="0" borderId="0" xfId="0" applyNumberFormat="1"/>
    <xf numFmtId="2" fontId="6" fillId="0" borderId="1" xfId="0" applyNumberFormat="1" applyFont="1" applyBorder="1"/>
    <xf numFmtId="2" fontId="7" fillId="0" borderId="1" xfId="0" applyNumberFormat="1" applyFont="1" applyBorder="1"/>
    <xf numFmtId="0" fontId="6" fillId="0" borderId="0" xfId="0" applyFont="1"/>
    <xf numFmtId="0" fontId="0" fillId="3" borderId="1" xfId="0" applyFill="1" applyBorder="1" applyAlignment="1">
      <alignment horizontal="center"/>
    </xf>
    <xf numFmtId="0" fontId="9" fillId="0" borderId="1" xfId="0" applyFont="1" applyBorder="1"/>
    <xf numFmtId="0" fontId="10" fillId="0" borderId="0" xfId="0" applyFont="1"/>
    <xf numFmtId="0" fontId="0" fillId="4" borderId="0" xfId="0" applyFill="1"/>
    <xf numFmtId="0" fontId="0" fillId="6" borderId="1" xfId="0" applyFill="1" applyBorder="1"/>
    <xf numFmtId="0" fontId="0" fillId="5" borderId="0" xfId="0" applyFill="1"/>
    <xf numFmtId="0" fontId="11" fillId="0" borderId="1" xfId="0" applyFont="1" applyBorder="1"/>
    <xf numFmtId="0" fontId="12" fillId="0" borderId="0" xfId="0" applyFont="1"/>
    <xf numFmtId="0" fontId="12" fillId="0" borderId="1" xfId="0" applyFont="1" applyBorder="1"/>
    <xf numFmtId="0" fontId="11" fillId="0" borderId="3" xfId="0" applyFont="1" applyBorder="1"/>
    <xf numFmtId="0" fontId="12" fillId="0" borderId="4" xfId="0" applyFont="1" applyBorder="1"/>
    <xf numFmtId="0" fontId="11" fillId="3" borderId="0" xfId="0" applyFont="1" applyFill="1"/>
    <xf numFmtId="0" fontId="12" fillId="3" borderId="0" xfId="0" applyFont="1" applyFill="1"/>
    <xf numFmtId="10" fontId="12" fillId="3" borderId="0" xfId="0" applyNumberFormat="1" applyFont="1" applyFill="1"/>
    <xf numFmtId="0" fontId="11" fillId="5" borderId="0" xfId="0" applyFont="1" applyFill="1"/>
    <xf numFmtId="0" fontId="11" fillId="0" borderId="0" xfId="0" applyFont="1"/>
    <xf numFmtId="0" fontId="14" fillId="0" borderId="0" xfId="0" applyFont="1"/>
    <xf numFmtId="0" fontId="14" fillId="0" borderId="1" xfId="0" applyFont="1" applyBorder="1"/>
    <xf numFmtId="0" fontId="14" fillId="5" borderId="1" xfId="0" applyFont="1" applyFill="1" applyBorder="1"/>
    <xf numFmtId="0" fontId="11" fillId="2" borderId="1" xfId="0" applyFont="1" applyFill="1" applyBorder="1"/>
    <xf numFmtId="0" fontId="15" fillId="0" borderId="0" xfId="0" applyFont="1"/>
    <xf numFmtId="0" fontId="16" fillId="0" borderId="0" xfId="1" applyFont="1"/>
    <xf numFmtId="0" fontId="17" fillId="0" borderId="0" xfId="1" applyFont="1"/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3" xfId="0" applyFont="1" applyBorder="1"/>
    <xf numFmtId="0" fontId="13" fillId="2" borderId="5" xfId="0" applyFont="1" applyFill="1" applyBorder="1"/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1" fillId="3" borderId="1" xfId="0" applyFont="1" applyFill="1" applyBorder="1"/>
    <xf numFmtId="0" fontId="19" fillId="0" borderId="1" xfId="0" applyFont="1" applyBorder="1" applyAlignment="1">
      <alignment horizontal="center"/>
    </xf>
    <xf numFmtId="0" fontId="19" fillId="0" borderId="0" xfId="0" applyFont="1"/>
    <xf numFmtId="0" fontId="12" fillId="2" borderId="1" xfId="0" applyFont="1" applyFill="1" applyBorder="1"/>
    <xf numFmtId="0" fontId="21" fillId="0" borderId="0" xfId="0" applyFont="1"/>
    <xf numFmtId="0" fontId="22" fillId="0" borderId="0" xfId="0" applyFont="1"/>
    <xf numFmtId="0" fontId="21" fillId="7" borderId="10" xfId="0" applyFont="1" applyFill="1" applyBorder="1"/>
    <xf numFmtId="0" fontId="21" fillId="7" borderId="14" xfId="0" applyFont="1" applyFill="1" applyBorder="1"/>
    <xf numFmtId="10" fontId="21" fillId="7" borderId="14" xfId="0" applyNumberFormat="1" applyFont="1" applyFill="1" applyBorder="1"/>
    <xf numFmtId="0" fontId="21" fillId="7" borderId="11" xfId="0" applyFont="1" applyFill="1" applyBorder="1"/>
    <xf numFmtId="0" fontId="22" fillId="7" borderId="13" xfId="0" applyFont="1" applyFill="1" applyBorder="1"/>
    <xf numFmtId="0" fontId="21" fillId="7" borderId="0" xfId="0" applyFont="1" applyFill="1"/>
    <xf numFmtId="10" fontId="21" fillId="7" borderId="0" xfId="0" applyNumberFormat="1" applyFont="1" applyFill="1"/>
    <xf numFmtId="0" fontId="21" fillId="7" borderId="15" xfId="0" applyFont="1" applyFill="1" applyBorder="1"/>
    <xf numFmtId="0" fontId="21" fillId="7" borderId="13" xfId="0" applyFont="1" applyFill="1" applyBorder="1"/>
    <xf numFmtId="0" fontId="21" fillId="7" borderId="0" xfId="0" applyFont="1" applyFill="1" applyAlignment="1">
      <alignment horizontal="center"/>
    </xf>
    <xf numFmtId="0" fontId="22" fillId="7" borderId="15" xfId="0" applyFont="1" applyFill="1" applyBorder="1"/>
    <xf numFmtId="0" fontId="21" fillId="7" borderId="9" xfId="0" applyFont="1" applyFill="1" applyBorder="1"/>
    <xf numFmtId="0" fontId="21" fillId="7" borderId="12" xfId="0" applyFont="1" applyFill="1" applyBorder="1"/>
    <xf numFmtId="0" fontId="22" fillId="7" borderId="12" xfId="0" applyFont="1" applyFill="1" applyBorder="1"/>
    <xf numFmtId="0" fontId="21" fillId="7" borderId="8" xfId="0" applyFont="1" applyFill="1" applyBorder="1"/>
    <xf numFmtId="0" fontId="12" fillId="7" borderId="1" xfId="0" applyFont="1" applyFill="1" applyBorder="1"/>
    <xf numFmtId="0" fontId="21" fillId="5" borderId="0" xfId="0" applyFont="1" applyFill="1"/>
    <xf numFmtId="0" fontId="11" fillId="5" borderId="1" xfId="0" applyFont="1" applyFill="1" applyBorder="1"/>
    <xf numFmtId="0" fontId="11" fillId="4" borderId="1" xfId="0" applyFont="1" applyFill="1" applyBorder="1"/>
    <xf numFmtId="0" fontId="12" fillId="0" borderId="1" xfId="1" applyFont="1" applyBorder="1"/>
    <xf numFmtId="0" fontId="0" fillId="6" borderId="6" xfId="0" applyFill="1" applyBorder="1"/>
    <xf numFmtId="0" fontId="20" fillId="0" borderId="0" xfId="0" applyFont="1"/>
    <xf numFmtId="0" fontId="11" fillId="0" borderId="0" xfId="0" applyFont="1" applyAlignment="1">
      <alignment horizontal="center"/>
    </xf>
    <xf numFmtId="0" fontId="11" fillId="7" borderId="1" xfId="0" applyFont="1" applyFill="1" applyBorder="1" applyAlignment="1">
      <alignment horizontal="center"/>
    </xf>
    <xf numFmtId="0" fontId="18" fillId="7" borderId="1" xfId="0" applyFont="1" applyFill="1" applyBorder="1" applyAlignment="1">
      <alignment horizontal="center"/>
    </xf>
    <xf numFmtId="0" fontId="12" fillId="7" borderId="1" xfId="0" applyFont="1" applyFill="1" applyBorder="1" applyAlignment="1">
      <alignment horizontal="center"/>
    </xf>
    <xf numFmtId="0" fontId="11" fillId="0" borderId="0" xfId="0" applyFont="1" applyAlignment="1">
      <alignment horizontal="left" vertical="top"/>
    </xf>
    <xf numFmtId="0" fontId="11" fillId="5" borderId="1" xfId="0" applyFont="1" applyFill="1" applyBorder="1" applyAlignment="1">
      <alignment horizontal="left" vertical="top"/>
    </xf>
    <xf numFmtId="0" fontId="23" fillId="0" borderId="1" xfId="0" applyFont="1" applyBorder="1"/>
    <xf numFmtId="0" fontId="23" fillId="5" borderId="1" xfId="0" applyFont="1" applyFill="1" applyBorder="1"/>
    <xf numFmtId="0" fontId="12" fillId="8" borderId="12" xfId="0" applyFont="1" applyFill="1" applyBorder="1"/>
    <xf numFmtId="0" fontId="11" fillId="8" borderId="1" xfId="0" applyFont="1" applyFill="1" applyBorder="1"/>
    <xf numFmtId="0" fontId="15" fillId="8" borderId="1" xfId="0" applyFont="1" applyFill="1" applyBorder="1"/>
    <xf numFmtId="0" fontId="12" fillId="8" borderId="1" xfId="0" applyFont="1" applyFill="1" applyBorder="1"/>
    <xf numFmtId="0" fontId="15" fillId="8" borderId="6" xfId="0" applyFont="1" applyFill="1" applyBorder="1"/>
    <xf numFmtId="0" fontId="12" fillId="8" borderId="10" xfId="0" applyFont="1" applyFill="1" applyBorder="1"/>
    <xf numFmtId="0" fontId="12" fillId="8" borderId="14" xfId="0" applyFont="1" applyFill="1" applyBorder="1"/>
    <xf numFmtId="0" fontId="12" fillId="8" borderId="13" xfId="0" applyFont="1" applyFill="1" applyBorder="1"/>
    <xf numFmtId="0" fontId="12" fillId="8" borderId="0" xfId="0" applyFont="1" applyFill="1"/>
    <xf numFmtId="0" fontId="12" fillId="8" borderId="9" xfId="0" applyFont="1" applyFill="1" applyBorder="1"/>
    <xf numFmtId="0" fontId="11" fillId="8" borderId="10" xfId="0" applyFont="1" applyFill="1" applyBorder="1"/>
    <xf numFmtId="0" fontId="13" fillId="8" borderId="14" xfId="0" applyFont="1" applyFill="1" applyBorder="1"/>
    <xf numFmtId="0" fontId="15" fillId="8" borderId="11" xfId="0" applyFont="1" applyFill="1" applyBorder="1"/>
    <xf numFmtId="0" fontId="11" fillId="8" borderId="9" xfId="0" applyFont="1" applyFill="1" applyBorder="1"/>
    <xf numFmtId="0" fontId="13" fillId="8" borderId="12" xfId="0" applyFont="1" applyFill="1" applyBorder="1"/>
    <xf numFmtId="0" fontId="15" fillId="8" borderId="8" xfId="0" applyFont="1" applyFill="1" applyBorder="1"/>
    <xf numFmtId="0" fontId="11" fillId="5" borderId="16" xfId="0" applyFont="1" applyFill="1" applyBorder="1"/>
    <xf numFmtId="0" fontId="11" fillId="5" borderId="2" xfId="0" applyFont="1" applyFill="1" applyBorder="1"/>
    <xf numFmtId="2" fontId="12" fillId="0" borderId="1" xfId="0" applyNumberFormat="1" applyFont="1" applyBorder="1"/>
    <xf numFmtId="2" fontId="11" fillId="5" borderId="1" xfId="0" applyNumberFormat="1" applyFont="1" applyFill="1" applyBorder="1"/>
    <xf numFmtId="2" fontId="11" fillId="8" borderId="0" xfId="0" applyNumberFormat="1" applyFont="1" applyFill="1"/>
    <xf numFmtId="2" fontId="11" fillId="0" borderId="1" xfId="0" applyNumberFormat="1" applyFont="1" applyBorder="1" applyAlignment="1">
      <alignment horizontal="center"/>
    </xf>
    <xf numFmtId="2" fontId="12" fillId="0" borderId="0" xfId="0" applyNumberFormat="1" applyFont="1"/>
    <xf numFmtId="2" fontId="11" fillId="0" borderId="0" xfId="0" applyNumberFormat="1" applyFont="1"/>
    <xf numFmtId="2" fontId="11" fillId="5" borderId="2" xfId="0" applyNumberFormat="1" applyFont="1" applyFill="1" applyBorder="1"/>
    <xf numFmtId="2" fontId="11" fillId="0" borderId="1" xfId="0" applyNumberFormat="1" applyFont="1" applyBorder="1"/>
    <xf numFmtId="0" fontId="12" fillId="5" borderId="1" xfId="0" applyFont="1" applyFill="1" applyBorder="1"/>
    <xf numFmtId="0" fontId="12" fillId="8" borderId="1" xfId="0" applyFont="1" applyFill="1" applyBorder="1" applyAlignment="1">
      <alignment horizontal="center"/>
    </xf>
    <xf numFmtId="0" fontId="11" fillId="0" borderId="12" xfId="0" applyFont="1" applyBorder="1"/>
    <xf numFmtId="0" fontId="24" fillId="8" borderId="13" xfId="0" applyFont="1" applyFill="1" applyBorder="1"/>
    <xf numFmtId="10" fontId="11" fillId="5" borderId="1" xfId="0" applyNumberFormat="1" applyFont="1" applyFill="1" applyBorder="1" applyAlignment="1">
      <alignment horizontal="center"/>
    </xf>
    <xf numFmtId="0" fontId="25" fillId="0" borderId="1" xfId="0" applyFont="1" applyBorder="1"/>
    <xf numFmtId="0" fontId="26" fillId="0" borderId="1" xfId="0" applyFont="1" applyBorder="1"/>
    <xf numFmtId="0" fontId="26" fillId="0" borderId="0" xfId="0" applyFont="1"/>
    <xf numFmtId="0" fontId="25" fillId="5" borderId="1" xfId="0" applyFont="1" applyFill="1" applyBorder="1"/>
    <xf numFmtId="0" fontId="25" fillId="3" borderId="0" xfId="0" applyFont="1" applyFill="1"/>
    <xf numFmtId="0" fontId="26" fillId="3" borderId="0" xfId="0" applyFont="1" applyFill="1"/>
    <xf numFmtId="0" fontId="8" fillId="0" borderId="0" xfId="0" applyFont="1"/>
    <xf numFmtId="0" fontId="25" fillId="5" borderId="0" xfId="0" applyFont="1" applyFill="1"/>
    <xf numFmtId="0" fontId="12" fillId="3" borderId="1" xfId="0" applyFont="1" applyFill="1" applyBorder="1"/>
    <xf numFmtId="0" fontId="0" fillId="0" borderId="0" xfId="0" applyAlignment="1">
      <alignment horizontal="center"/>
    </xf>
    <xf numFmtId="2" fontId="14" fillId="0" borderId="1" xfId="0" applyNumberFormat="1" applyFont="1" applyBorder="1"/>
    <xf numFmtId="2" fontId="12" fillId="4" borderId="1" xfId="0" applyNumberFormat="1" applyFont="1" applyFill="1" applyBorder="1"/>
    <xf numFmtId="0" fontId="12" fillId="4" borderId="1" xfId="0" applyFont="1" applyFill="1" applyBorder="1"/>
    <xf numFmtId="2" fontId="12" fillId="3" borderId="1" xfId="0" applyNumberFormat="1" applyFont="1" applyFill="1" applyBorder="1"/>
    <xf numFmtId="2" fontId="12" fillId="5" borderId="1" xfId="0" applyNumberFormat="1" applyFont="1" applyFill="1" applyBorder="1"/>
    <xf numFmtId="0" fontId="14" fillId="0" borderId="7" xfId="0" applyFont="1" applyBorder="1"/>
    <xf numFmtId="0" fontId="14" fillId="6" borderId="1" xfId="0" applyFont="1" applyFill="1" applyBorder="1"/>
    <xf numFmtId="0" fontId="14" fillId="4" borderId="1" xfId="0" applyFont="1" applyFill="1" applyBorder="1"/>
    <xf numFmtId="0" fontId="14" fillId="3" borderId="10" xfId="0" applyFont="1" applyFill="1" applyBorder="1"/>
    <xf numFmtId="0" fontId="14" fillId="3" borderId="14" xfId="0" applyFont="1" applyFill="1" applyBorder="1"/>
    <xf numFmtId="0" fontId="14" fillId="3" borderId="11" xfId="0" applyFont="1" applyFill="1" applyBorder="1"/>
    <xf numFmtId="0" fontId="14" fillId="5" borderId="13" xfId="0" applyFont="1" applyFill="1" applyBorder="1"/>
    <xf numFmtId="0" fontId="14" fillId="5" borderId="0" xfId="0" applyFont="1" applyFill="1"/>
    <xf numFmtId="0" fontId="14" fillId="5" borderId="15" xfId="0" applyFont="1" applyFill="1" applyBorder="1"/>
    <xf numFmtId="0" fontId="14" fillId="4" borderId="9" xfId="0" applyFont="1" applyFill="1" applyBorder="1"/>
    <xf numFmtId="0" fontId="14" fillId="4" borderId="12" xfId="0" applyFont="1" applyFill="1" applyBorder="1"/>
    <xf numFmtId="0" fontId="14" fillId="4" borderId="8" xfId="0" applyFont="1" applyFill="1" applyBorder="1"/>
    <xf numFmtId="0" fontId="14" fillId="3" borderId="1" xfId="0" applyFont="1" applyFill="1" applyBorder="1"/>
    <xf numFmtId="10" fontId="14" fillId="0" borderId="1" xfId="0" applyNumberFormat="1" applyFont="1" applyBorder="1"/>
    <xf numFmtId="0" fontId="27" fillId="0" borderId="0" xfId="0" applyFont="1"/>
    <xf numFmtId="10" fontId="27" fillId="0" borderId="0" xfId="0" applyNumberFormat="1" applyFont="1"/>
    <xf numFmtId="8" fontId="27" fillId="0" borderId="0" xfId="0" applyNumberFormat="1" applyFont="1"/>
    <xf numFmtId="2" fontId="14" fillId="4" borderId="1" xfId="0" applyNumberFormat="1" applyFont="1" applyFill="1" applyBorder="1"/>
    <xf numFmtId="0" fontId="28" fillId="0" borderId="0" xfId="2" applyFont="1"/>
    <xf numFmtId="0" fontId="28" fillId="5" borderId="0" xfId="2" applyFont="1" applyFill="1"/>
    <xf numFmtId="0" fontId="30" fillId="0" borderId="0" xfId="2" applyFont="1"/>
    <xf numFmtId="0" fontId="4" fillId="5" borderId="0" xfId="2" applyFill="1"/>
    <xf numFmtId="0" fontId="29" fillId="0" borderId="1" xfId="2" applyFont="1" applyBorder="1"/>
    <xf numFmtId="0" fontId="12" fillId="5" borderId="0" xfId="0" applyFont="1" applyFill="1"/>
    <xf numFmtId="10" fontId="12" fillId="0" borderId="0" xfId="0" applyNumberFormat="1" applyFont="1"/>
    <xf numFmtId="10" fontId="12" fillId="0" borderId="1" xfId="0" applyNumberFormat="1" applyFont="1" applyBorder="1"/>
    <xf numFmtId="0" fontId="0" fillId="4" borderId="1" xfId="0" applyFill="1" applyBorder="1"/>
    <xf numFmtId="10" fontId="12" fillId="0" borderId="1" xfId="0" applyNumberFormat="1" applyFont="1" applyBorder="1" applyAlignment="1">
      <alignment horizontal="center"/>
    </xf>
    <xf numFmtId="9" fontId="12" fillId="0" borderId="1" xfId="0" applyNumberFormat="1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4" borderId="1" xfId="0" applyFont="1" applyFill="1" applyBorder="1" applyAlignment="1">
      <alignment horizontal="center"/>
    </xf>
    <xf numFmtId="0" fontId="23" fillId="5" borderId="1" xfId="0" applyFont="1" applyFill="1" applyBorder="1" applyAlignment="1">
      <alignment horizontal="center"/>
    </xf>
    <xf numFmtId="0" fontId="15" fillId="3" borderId="1" xfId="0" applyFont="1" applyFill="1" applyBorder="1"/>
    <xf numFmtId="2" fontId="15" fillId="0" borderId="1" xfId="0" applyNumberFormat="1" applyFont="1" applyBorder="1"/>
    <xf numFmtId="10" fontId="15" fillId="3" borderId="1" xfId="0" applyNumberFormat="1" applyFont="1" applyFill="1" applyBorder="1"/>
    <xf numFmtId="10" fontId="15" fillId="0" borderId="1" xfId="0" applyNumberFormat="1" applyFont="1" applyBorder="1"/>
    <xf numFmtId="0" fontId="11" fillId="0" borderId="7" xfId="0" applyFont="1" applyBorder="1"/>
    <xf numFmtId="0" fontId="12" fillId="0" borderId="13" xfId="0" applyFont="1" applyBorder="1"/>
    <xf numFmtId="0" fontId="12" fillId="0" borderId="9" xfId="0" applyFont="1" applyBorder="1"/>
    <xf numFmtId="0" fontId="12" fillId="0" borderId="12" xfId="0" applyFont="1" applyBorder="1"/>
    <xf numFmtId="0" fontId="25" fillId="0" borderId="5" xfId="0" applyFont="1" applyBorder="1"/>
    <xf numFmtId="0" fontId="26" fillId="0" borderId="5" xfId="0" applyFont="1" applyBorder="1"/>
    <xf numFmtId="0" fontId="1" fillId="0" borderId="0" xfId="0" applyFont="1"/>
    <xf numFmtId="0" fontId="31" fillId="0" borderId="0" xfId="2" applyFont="1"/>
    <xf numFmtId="22" fontId="4" fillId="0" borderId="0" xfId="2" applyNumberFormat="1"/>
  </cellXfs>
  <cellStyles count="3">
    <cellStyle name="Lien hypertexte" xfId="1" builtinId="8"/>
    <cellStyle name="Normal" xfId="0" builtinId="0"/>
    <cellStyle name="Normal 2" xfId="2" xr:uid="{405AE616-CDBB-4FDC-9E35-392440E8DB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90487</xdr:rowOff>
    </xdr:from>
    <xdr:to>
      <xdr:col>2</xdr:col>
      <xdr:colOff>9524</xdr:colOff>
      <xdr:row>28</xdr:row>
      <xdr:rowOff>180975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ZoneTexte 1">
              <a:extLst>
                <a:ext uri="{FF2B5EF4-FFF2-40B4-BE49-F238E27FC236}">
                  <a16:creationId xmlns:a16="http://schemas.microsoft.com/office/drawing/2014/main" id="{E01B5E96-988A-81A3-5607-00F65514D783}"/>
                </a:ext>
              </a:extLst>
            </xdr:cNvPr>
            <xdr:cNvSpPr txBox="1"/>
          </xdr:nvSpPr>
          <xdr:spPr>
            <a:xfrm>
              <a:off x="0" y="4043362"/>
              <a:ext cx="6467474" cy="1690688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fr-BE" sz="1200" i="1">
                  <a:solidFill>
                    <a:schemeClr val="dk1"/>
                  </a:solidFill>
                  <a:effectLst/>
                  <a:latin typeface="Calibri" panose="020F0502020204030204" pitchFamily="34" charset="0"/>
                  <a:ea typeface="+mn-ea"/>
                  <a:cs typeface="Calibri" panose="020F0502020204030204" pitchFamily="34" charset="0"/>
                </a:rPr>
                <a:t>Chaque</a:t>
              </a:r>
              <a:r>
                <a:rPr lang="fr-BE" sz="1200" i="1" baseline="0">
                  <a:solidFill>
                    <a:schemeClr val="dk1"/>
                  </a:solidFill>
                  <a:effectLst/>
                  <a:latin typeface="Calibri" panose="020F0502020204030204" pitchFamily="34" charset="0"/>
                  <a:ea typeface="+mn-ea"/>
                  <a:cs typeface="Calibri" panose="020F0502020204030204" pitchFamily="34" charset="0"/>
                </a:rPr>
                <a:t> flux est actulisé en € constants à l'année de référence 2025 de la manière suivante:</a:t>
              </a:r>
              <a:endParaRPr lang="fr-BE" sz="1200" i="1">
                <a:solidFill>
                  <a:schemeClr val="dk1"/>
                </a:solidFill>
                <a:effectLst/>
                <a:latin typeface="Calibri" panose="020F0502020204030204" pitchFamily="34" charset="0"/>
                <a:ea typeface="+mn-ea"/>
                <a:cs typeface="Calibri" panose="020F0502020204030204" pitchFamily="34" charset="0"/>
              </a:endParaRPr>
            </a:p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fr-BE" sz="12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𝐹𝑙𝑢</m:t>
                    </m:r>
                    <m:sSub>
                      <m:sSubPr>
                        <m:ctrlPr>
                          <a:rPr lang="fr-BE" sz="12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fr-BE" sz="12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𝑥</m:t>
                        </m:r>
                      </m:e>
                      <m:sub>
                        <m:r>
                          <a:rPr lang="fr-BE" sz="12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𝑐𝑜𝑛𝑠𝑡𝑎𝑛𝑡</m:t>
                        </m:r>
                      </m:sub>
                    </m:sSub>
                    <m:r>
                      <a:rPr lang="fr-BE" sz="12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fr-BE" sz="12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𝐹𝑙𝑢</m:t>
                    </m:r>
                    <m:sSub>
                      <m:sSubPr>
                        <m:ctrlPr>
                          <a:rPr lang="fr-BE" sz="12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fr-BE" sz="12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𝑥</m:t>
                        </m:r>
                      </m:e>
                      <m:sub>
                        <m:r>
                          <a:rPr lang="fr-BE" sz="12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𝑛𝑜𝑚𝑖𝑛𝑎𝑙</m:t>
                        </m:r>
                      </m:sub>
                    </m:sSub>
                    <m:r>
                      <a:rPr lang="fr-BE" sz="12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×</m:t>
                    </m:r>
                    <m:f>
                      <m:fPr>
                        <m:ctrlPr>
                          <a:rPr lang="fr-BE" sz="12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fr-BE" sz="12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𝐼𝑃</m:t>
                        </m:r>
                        <m:sSub>
                          <m:sSubPr>
                            <m:ctrlPr>
                              <a:rPr lang="fr-BE" sz="12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fr-BE" sz="12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𝐶</m:t>
                            </m:r>
                          </m:e>
                          <m:sub>
                            <m:r>
                              <a:rPr lang="fr-BE" sz="12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𝑟𝑒𝑓</m:t>
                            </m:r>
                          </m:sub>
                        </m:sSub>
                      </m:num>
                      <m:den>
                        <m:r>
                          <a:rPr lang="fr-BE" sz="12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𝐼𝑃</m:t>
                        </m:r>
                        <m:sSub>
                          <m:sSubPr>
                            <m:ctrlPr>
                              <a:rPr lang="fr-BE" sz="12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fr-BE" sz="12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𝐶</m:t>
                            </m:r>
                          </m:e>
                          <m:sub>
                            <m:r>
                              <a:rPr lang="fr-BE" sz="12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𝑡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fr-BE" sz="1200">
                <a:solidFill>
                  <a:schemeClr val="dk1"/>
                </a:solidFill>
                <a:effectLst/>
                <a:latin typeface="Calibri" panose="020F0502020204030204" pitchFamily="34" charset="0"/>
                <a:ea typeface="+mn-ea"/>
                <a:cs typeface="Calibri" panose="020F0502020204030204" pitchFamily="34" charset="0"/>
              </a:endParaRPr>
            </a:p>
            <a:p>
              <a:r>
                <a:rPr lang="fr-BE" sz="1200">
                  <a:solidFill>
                    <a:schemeClr val="dk1"/>
                  </a:solidFill>
                  <a:effectLst/>
                  <a:latin typeface="Calibri" panose="020F0502020204030204" pitchFamily="34" charset="0"/>
                  <a:ea typeface="+mn-ea"/>
                  <a:cs typeface="Calibri" panose="020F0502020204030204" pitchFamily="34" charset="0"/>
                </a:rPr>
                <a:t>Où :</a:t>
              </a:r>
            </a:p>
            <a:p>
              <a14:m>
                <m:oMath xmlns:m="http://schemas.openxmlformats.org/officeDocument/2006/math">
                  <m:r>
                    <a:rPr lang="fr-BE" sz="120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𝐹𝑙𝑢</m:t>
                  </m:r>
                  <m:sSub>
                    <m:sSubPr>
                      <m:ctrlPr>
                        <a:rPr lang="fr-BE" sz="12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fr-BE" sz="12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𝑥</m:t>
                      </m:r>
                    </m:e>
                    <m:sub>
                      <m:r>
                        <a:rPr lang="fr-BE" sz="12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𝑐𝑜𝑛𝑠𝑡𝑎𝑛𝑡</m:t>
                      </m:r>
                    </m:sub>
                  </m:sSub>
                </m:oMath>
              </a14:m>
              <a:r>
                <a:rPr lang="fr-BE" sz="1200">
                  <a:solidFill>
                    <a:schemeClr val="dk1"/>
                  </a:solidFill>
                  <a:effectLst/>
                  <a:latin typeface="Calibri" panose="020F0502020204030204" pitchFamily="34" charset="0"/>
                  <a:ea typeface="+mn-ea"/>
                  <a:cs typeface="Calibri" panose="020F0502020204030204" pitchFamily="34" charset="0"/>
                </a:rPr>
                <a:t> = Flux exprimé en euros constants de l’année de référence (2025)</a:t>
              </a:r>
            </a:p>
            <a:p>
              <a14:m>
                <m:oMath xmlns:m="http://schemas.openxmlformats.org/officeDocument/2006/math">
                  <m:r>
                    <a:rPr lang="fr-BE" sz="120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𝐹𝑙𝑢</m:t>
                  </m:r>
                  <m:sSub>
                    <m:sSubPr>
                      <m:ctrlPr>
                        <a:rPr lang="fr-BE" sz="12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fr-BE" sz="12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𝑥</m:t>
                      </m:r>
                    </m:e>
                    <m:sub>
                      <m:r>
                        <a:rPr lang="fr-BE" sz="12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𝑛𝑜𝑚𝑖𝑛𝑎𝑙</m:t>
                      </m:r>
                    </m:sub>
                  </m:sSub>
                </m:oMath>
              </a14:m>
              <a:r>
                <a:rPr lang="fr-BE" sz="1200">
                  <a:solidFill>
                    <a:schemeClr val="dk1"/>
                  </a:solidFill>
                  <a:effectLst/>
                  <a:latin typeface="Calibri" panose="020F0502020204030204" pitchFamily="34" charset="0"/>
                  <a:ea typeface="+mn-ea"/>
                  <a:cs typeface="Calibri" panose="020F0502020204030204" pitchFamily="34" charset="0"/>
                </a:rPr>
                <a:t> = Flux exprimé en euros courants à son année d’apparition</a:t>
              </a:r>
            </a:p>
            <a:p>
              <a14:m>
                <m:oMath xmlns:m="http://schemas.openxmlformats.org/officeDocument/2006/math">
                  <m:r>
                    <a:rPr lang="fr-BE" sz="120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𝐼𝑃</m:t>
                  </m:r>
                  <m:sSub>
                    <m:sSubPr>
                      <m:ctrlPr>
                        <a:rPr lang="fr-BE" sz="12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fr-BE" sz="12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𝐶</m:t>
                      </m:r>
                    </m:e>
                    <m:sub>
                      <m:r>
                        <a:rPr lang="fr-BE" sz="12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𝑟𝑒𝑓</m:t>
                      </m:r>
                    </m:sub>
                  </m:sSub>
                </m:oMath>
              </a14:m>
              <a:r>
                <a:rPr lang="fr-BE" sz="1200">
                  <a:solidFill>
                    <a:schemeClr val="dk1"/>
                  </a:solidFill>
                  <a:effectLst/>
                  <a:latin typeface="Calibri" panose="020F0502020204030204" pitchFamily="34" charset="0"/>
                  <a:ea typeface="+mn-ea"/>
                  <a:cs typeface="Calibri" panose="020F0502020204030204" pitchFamily="34" charset="0"/>
                </a:rPr>
                <a:t> = Indice des prix à la consommation de l’année de référence (2025)</a:t>
              </a:r>
            </a:p>
            <a:p>
              <a14:m>
                <m:oMath xmlns:m="http://schemas.openxmlformats.org/officeDocument/2006/math">
                  <m:r>
                    <a:rPr lang="fr-BE" sz="120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𝐼𝑃</m:t>
                  </m:r>
                  <m:sSub>
                    <m:sSubPr>
                      <m:ctrlPr>
                        <a:rPr lang="fr-BE" sz="12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fr-BE" sz="12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𝐶</m:t>
                      </m:r>
                    </m:e>
                    <m:sub>
                      <m:r>
                        <a:rPr lang="fr-BE" sz="12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𝑡</m:t>
                      </m:r>
                    </m:sub>
                  </m:sSub>
                </m:oMath>
              </a14:m>
              <a:r>
                <a:rPr lang="fr-BE" sz="1200">
                  <a:solidFill>
                    <a:schemeClr val="dk1"/>
                  </a:solidFill>
                  <a:effectLst/>
                  <a:latin typeface="Calibri" panose="020F0502020204030204" pitchFamily="34" charset="0"/>
                  <a:ea typeface="+mn-ea"/>
                  <a:cs typeface="Calibri" panose="020F0502020204030204" pitchFamily="34" charset="0"/>
                </a:rPr>
                <a:t> = Indice des prix à la consommation de l’année t</a:t>
              </a:r>
            </a:p>
            <a:p>
              <a:endParaRPr lang="fr-BE" sz="1100"/>
            </a:p>
          </xdr:txBody>
        </xdr:sp>
      </mc:Choice>
      <mc:Fallback xmlns="">
        <xdr:sp macro="" textlink="">
          <xdr:nvSpPr>
            <xdr:cNvPr id="2" name="ZoneTexte 1">
              <a:extLst>
                <a:ext uri="{FF2B5EF4-FFF2-40B4-BE49-F238E27FC236}">
                  <a16:creationId xmlns:a16="http://schemas.microsoft.com/office/drawing/2014/main" id="{E01B5E96-988A-81A3-5607-00F65514D783}"/>
                </a:ext>
              </a:extLst>
            </xdr:cNvPr>
            <xdr:cNvSpPr txBox="1"/>
          </xdr:nvSpPr>
          <xdr:spPr>
            <a:xfrm>
              <a:off x="0" y="4043362"/>
              <a:ext cx="6467474" cy="1690688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fr-BE" sz="1200" i="1">
                  <a:solidFill>
                    <a:schemeClr val="dk1"/>
                  </a:solidFill>
                  <a:effectLst/>
                  <a:latin typeface="Calibri" panose="020F0502020204030204" pitchFamily="34" charset="0"/>
                  <a:ea typeface="+mn-ea"/>
                  <a:cs typeface="Calibri" panose="020F0502020204030204" pitchFamily="34" charset="0"/>
                </a:rPr>
                <a:t>Chaque</a:t>
              </a:r>
              <a:r>
                <a:rPr lang="fr-BE" sz="1200" i="1" baseline="0">
                  <a:solidFill>
                    <a:schemeClr val="dk1"/>
                  </a:solidFill>
                  <a:effectLst/>
                  <a:latin typeface="Calibri" panose="020F0502020204030204" pitchFamily="34" charset="0"/>
                  <a:ea typeface="+mn-ea"/>
                  <a:cs typeface="Calibri" panose="020F0502020204030204" pitchFamily="34" charset="0"/>
                </a:rPr>
                <a:t> flux est actulisé en € constants à l'année de référence 2025 de la manière suivante:</a:t>
              </a:r>
              <a:endParaRPr lang="fr-BE" sz="1200" i="1">
                <a:solidFill>
                  <a:schemeClr val="dk1"/>
                </a:solidFill>
                <a:effectLst/>
                <a:latin typeface="Calibri" panose="020F0502020204030204" pitchFamily="34" charset="0"/>
                <a:ea typeface="+mn-ea"/>
                <a:cs typeface="Calibri" panose="020F0502020204030204" pitchFamily="34" charset="0"/>
              </a:endParaRPr>
            </a:p>
            <a:p>
              <a:r>
                <a:rPr lang="fr-BE" sz="12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𝐹𝑙𝑢𝑥_𝑐𝑜𝑛𝑠𝑡𝑎𝑛𝑡=𝐹𝑙𝑢𝑥_𝑛𝑜𝑚𝑖𝑛𝑎𝑙×(𝐼𝑃𝐶_𝑟𝑒𝑓)/(𝐼𝑃𝐶_𝑡 )</a:t>
              </a:r>
              <a:endParaRPr lang="fr-BE" sz="1200">
                <a:solidFill>
                  <a:schemeClr val="dk1"/>
                </a:solidFill>
                <a:effectLst/>
                <a:latin typeface="Calibri" panose="020F0502020204030204" pitchFamily="34" charset="0"/>
                <a:ea typeface="+mn-ea"/>
                <a:cs typeface="Calibri" panose="020F0502020204030204" pitchFamily="34" charset="0"/>
              </a:endParaRPr>
            </a:p>
            <a:p>
              <a:r>
                <a:rPr lang="fr-BE" sz="1200">
                  <a:solidFill>
                    <a:schemeClr val="dk1"/>
                  </a:solidFill>
                  <a:effectLst/>
                  <a:latin typeface="Calibri" panose="020F0502020204030204" pitchFamily="34" charset="0"/>
                  <a:ea typeface="+mn-ea"/>
                  <a:cs typeface="Calibri" panose="020F0502020204030204" pitchFamily="34" charset="0"/>
                </a:rPr>
                <a:t>Où :</a:t>
              </a:r>
            </a:p>
            <a:p>
              <a:r>
                <a:rPr lang="fr-BE" sz="12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𝐹𝑙𝑢𝑥_𝑐𝑜𝑛𝑠𝑡𝑎𝑛𝑡</a:t>
              </a:r>
              <a:r>
                <a:rPr lang="fr-BE" sz="1200">
                  <a:solidFill>
                    <a:schemeClr val="dk1"/>
                  </a:solidFill>
                  <a:effectLst/>
                  <a:latin typeface="Calibri" panose="020F0502020204030204" pitchFamily="34" charset="0"/>
                  <a:ea typeface="+mn-ea"/>
                  <a:cs typeface="Calibri" panose="020F0502020204030204" pitchFamily="34" charset="0"/>
                </a:rPr>
                <a:t> = Flux exprimé en euros constants de l’année de référence (2025)</a:t>
              </a:r>
            </a:p>
            <a:p>
              <a:r>
                <a:rPr lang="fr-BE" sz="12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𝐹𝑙𝑢𝑥_𝑛𝑜𝑚𝑖𝑛𝑎𝑙</a:t>
              </a:r>
              <a:r>
                <a:rPr lang="fr-BE" sz="1200">
                  <a:solidFill>
                    <a:schemeClr val="dk1"/>
                  </a:solidFill>
                  <a:effectLst/>
                  <a:latin typeface="Calibri" panose="020F0502020204030204" pitchFamily="34" charset="0"/>
                  <a:ea typeface="+mn-ea"/>
                  <a:cs typeface="Calibri" panose="020F0502020204030204" pitchFamily="34" charset="0"/>
                </a:rPr>
                <a:t> = Flux exprimé en euros courants à son année d’apparition</a:t>
              </a:r>
            </a:p>
            <a:p>
              <a:r>
                <a:rPr lang="fr-BE" sz="12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𝐼𝑃𝐶_𝑟𝑒𝑓</a:t>
              </a:r>
              <a:r>
                <a:rPr lang="fr-BE" sz="1200">
                  <a:solidFill>
                    <a:schemeClr val="dk1"/>
                  </a:solidFill>
                  <a:effectLst/>
                  <a:latin typeface="Calibri" panose="020F0502020204030204" pitchFamily="34" charset="0"/>
                  <a:ea typeface="+mn-ea"/>
                  <a:cs typeface="Calibri" panose="020F0502020204030204" pitchFamily="34" charset="0"/>
                </a:rPr>
                <a:t> = Indice des prix à la consommation de l’année de référence (2025)</a:t>
              </a:r>
            </a:p>
            <a:p>
              <a:r>
                <a:rPr lang="fr-BE" sz="12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𝐼𝑃𝐶_𝑡</a:t>
              </a:r>
              <a:r>
                <a:rPr lang="fr-BE" sz="1200">
                  <a:solidFill>
                    <a:schemeClr val="dk1"/>
                  </a:solidFill>
                  <a:effectLst/>
                  <a:latin typeface="Calibri" panose="020F0502020204030204" pitchFamily="34" charset="0"/>
                  <a:ea typeface="+mn-ea"/>
                  <a:cs typeface="Calibri" panose="020F0502020204030204" pitchFamily="34" charset="0"/>
                </a:rPr>
                <a:t> = Indice des prix à la consommation de l’année t</a:t>
              </a:r>
            </a:p>
            <a:p>
              <a:endParaRPr lang="fr-BE" sz="1100"/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541059</xdr:colOff>
      <xdr:row>10</xdr:row>
      <xdr:rowOff>160433</xdr:rowOff>
    </xdr:from>
    <xdr:to>
      <xdr:col>16</xdr:col>
      <xdr:colOff>142502</xdr:colOff>
      <xdr:row>38</xdr:row>
      <xdr:rowOff>125321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2CEE6EC-82E3-0752-4F5E-E02937477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69971" y="2166286"/>
          <a:ext cx="6462618" cy="55629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indexsearch.economie.fgov.be/indexsearch-fr/" TargetMode="External"/><Relationship Id="rId2" Type="http://schemas.openxmlformats.org/officeDocument/2006/relationships/hyperlink" Target="https://statbel.fgov.be/sites/default/files/files/documents/Consumptieprijzen/3.1%20Consumptieprijsindex/Historiek-1920-conv-2025.xls" TargetMode="External"/><Relationship Id="rId1" Type="http://schemas.openxmlformats.org/officeDocument/2006/relationships/hyperlink" Target="https://indexsearch.economie.fgov.be/indexsearch-fr/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statbel.fgov.be/fr/themes/prix-la-consommation/indice-des-prix-la-consommatio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blackrock.com/be/individual/fr/products/251808/ishares-european-property-yield-ucits-e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CC416-392F-45C4-884E-364604CE7C50}">
  <dimension ref="A1:F23"/>
  <sheetViews>
    <sheetView zoomScale="85" zoomScaleNormal="85" workbookViewId="0">
      <selection activeCell="C4" sqref="C4"/>
    </sheetView>
  </sheetViews>
  <sheetFormatPr baseColWidth="10" defaultRowHeight="18.75" x14ac:dyDescent="0.3"/>
  <cols>
    <col min="1" max="1" width="53.5703125" style="120" customWidth="1"/>
    <col min="2" max="2" width="51.42578125" style="120" customWidth="1"/>
    <col min="3" max="3" width="47.85546875" customWidth="1"/>
    <col min="4" max="4" width="32.5703125" customWidth="1"/>
    <col min="5" max="5" width="28.85546875" customWidth="1"/>
  </cols>
  <sheetData>
    <row r="1" spans="1:6" x14ac:dyDescent="0.3">
      <c r="A1" s="121" t="s">
        <v>173</v>
      </c>
    </row>
    <row r="2" spans="1:6" x14ac:dyDescent="0.3">
      <c r="A2" s="116"/>
    </row>
    <row r="3" spans="1:6" x14ac:dyDescent="0.3">
      <c r="A3" s="116" t="s">
        <v>223</v>
      </c>
    </row>
    <row r="4" spans="1:6" x14ac:dyDescent="0.3">
      <c r="A4" s="114" t="s">
        <v>224</v>
      </c>
      <c r="B4" s="170" t="s">
        <v>68</v>
      </c>
      <c r="C4" s="21" t="s">
        <v>225</v>
      </c>
      <c r="D4" s="30"/>
      <c r="E4" s="30"/>
      <c r="F4" s="22"/>
    </row>
    <row r="5" spans="1:6" x14ac:dyDescent="0.3">
      <c r="A5" s="115" t="s">
        <v>1</v>
      </c>
      <c r="B5" s="171">
        <f>137.03+123.29+7.6+167.2+273.95+1104.16+3705.64</f>
        <v>5518.87</v>
      </c>
      <c r="C5" s="23" t="s">
        <v>69</v>
      </c>
      <c r="D5" s="22"/>
      <c r="E5" s="22"/>
      <c r="F5" s="22"/>
    </row>
    <row r="6" spans="1:6" x14ac:dyDescent="0.3">
      <c r="A6" s="115" t="s">
        <v>2</v>
      </c>
      <c r="B6" s="171">
        <f>5300+1983.2+10600+3180+4724.42</f>
        <v>25787.620000000003</v>
      </c>
      <c r="C6" s="23" t="s">
        <v>70</v>
      </c>
      <c r="D6" s="22"/>
      <c r="E6" s="22"/>
      <c r="F6" s="22"/>
    </row>
    <row r="7" spans="1:6" x14ac:dyDescent="0.3">
      <c r="A7" s="115" t="s">
        <v>3</v>
      </c>
      <c r="B7" s="171">
        <f>(1453+3753.32+3834.04+3498-250)*1.06</f>
        <v>13025.661600000001</v>
      </c>
      <c r="C7" s="23" t="s">
        <v>70</v>
      </c>
      <c r="D7" s="22"/>
      <c r="E7" s="22"/>
      <c r="F7" s="22"/>
    </row>
    <row r="8" spans="1:6" x14ac:dyDescent="0.3">
      <c r="A8" s="115" t="s">
        <v>4</v>
      </c>
      <c r="B8" s="171">
        <f>3020.75+2135.87+2928.78+2173+873.91+303.63+53.2+69.45</f>
        <v>11558.59</v>
      </c>
      <c r="C8" s="23" t="s">
        <v>69</v>
      </c>
      <c r="D8" s="22"/>
      <c r="E8" s="22"/>
      <c r="F8" s="22"/>
    </row>
    <row r="9" spans="1:6" x14ac:dyDescent="0.3">
      <c r="A9" s="115" t="s">
        <v>5</v>
      </c>
      <c r="B9" s="171">
        <f>5245*1.06</f>
        <v>5559.7000000000007</v>
      </c>
      <c r="C9" s="23" t="s">
        <v>70</v>
      </c>
      <c r="D9" s="22"/>
      <c r="E9" s="22"/>
      <c r="F9" s="22"/>
    </row>
    <row r="10" spans="1:6" x14ac:dyDescent="0.3">
      <c r="A10" s="114" t="s">
        <v>71</v>
      </c>
      <c r="B10" s="114">
        <f>+B6+B7+B9</f>
        <v>44372.981599999999</v>
      </c>
      <c r="C10" s="30"/>
      <c r="D10" s="30"/>
      <c r="E10" s="30"/>
      <c r="F10" s="22"/>
    </row>
    <row r="11" spans="1:6" x14ac:dyDescent="0.3">
      <c r="A11" s="114" t="s">
        <v>226</v>
      </c>
      <c r="B11" s="114">
        <f>B8+B5</f>
        <v>17077.46</v>
      </c>
      <c r="C11" s="30"/>
      <c r="D11" s="30"/>
      <c r="E11" s="30"/>
      <c r="F11" s="22"/>
    </row>
    <row r="12" spans="1:6" x14ac:dyDescent="0.3">
      <c r="A12" s="115" t="s">
        <v>72</v>
      </c>
      <c r="B12" s="115">
        <f>B10+B11</f>
        <v>61450.441599999998</v>
      </c>
      <c r="C12" s="25"/>
      <c r="D12" s="22"/>
      <c r="E12" s="22"/>
      <c r="F12" s="22"/>
    </row>
    <row r="13" spans="1:6" x14ac:dyDescent="0.3">
      <c r="A13" s="116"/>
      <c r="B13" s="116"/>
      <c r="C13" s="22"/>
      <c r="D13" s="22"/>
      <c r="E13" s="22"/>
      <c r="F13" s="22"/>
    </row>
    <row r="14" spans="1:6" x14ac:dyDescent="0.3">
      <c r="A14" s="117" t="s">
        <v>209</v>
      </c>
      <c r="B14" s="116"/>
      <c r="C14" s="22"/>
      <c r="D14" s="22"/>
      <c r="E14" s="22"/>
      <c r="F14" s="22"/>
    </row>
    <row r="15" spans="1:6" x14ac:dyDescent="0.3">
      <c r="A15" s="116"/>
      <c r="B15" s="116"/>
      <c r="C15" s="22"/>
      <c r="D15" s="22"/>
      <c r="E15" s="22"/>
      <c r="F15" s="22"/>
    </row>
    <row r="16" spans="1:6" x14ac:dyDescent="0.3">
      <c r="A16" s="115" t="s">
        <v>102</v>
      </c>
      <c r="B16" s="115" t="s">
        <v>103</v>
      </c>
      <c r="C16" s="23" t="s">
        <v>104</v>
      </c>
      <c r="D16" s="23" t="s">
        <v>105</v>
      </c>
      <c r="E16" s="23" t="s">
        <v>106</v>
      </c>
      <c r="F16" s="22"/>
    </row>
    <row r="17" spans="1:6" x14ac:dyDescent="0.3">
      <c r="A17" s="115" t="s">
        <v>137</v>
      </c>
      <c r="B17" s="115">
        <v>419</v>
      </c>
      <c r="C17" s="23">
        <v>150</v>
      </c>
      <c r="D17" s="23">
        <f>C17-B17</f>
        <v>-269</v>
      </c>
      <c r="E17" s="23" t="s">
        <v>227</v>
      </c>
      <c r="F17" s="22"/>
    </row>
    <row r="18" spans="1:6" x14ac:dyDescent="0.3">
      <c r="A18" s="115" t="s">
        <v>107</v>
      </c>
      <c r="B18" s="115" t="s">
        <v>109</v>
      </c>
      <c r="C18" s="23" t="s">
        <v>110</v>
      </c>
      <c r="D18" s="23" t="s">
        <v>116</v>
      </c>
      <c r="E18" s="23"/>
      <c r="F18" s="22"/>
    </row>
    <row r="19" spans="1:6" x14ac:dyDescent="0.3">
      <c r="A19" s="115" t="s">
        <v>108</v>
      </c>
      <c r="B19" s="115">
        <v>177</v>
      </c>
      <c r="C19" s="23">
        <v>197</v>
      </c>
      <c r="D19" s="23">
        <f>C19-B19</f>
        <v>20</v>
      </c>
      <c r="E19" s="23" t="s">
        <v>111</v>
      </c>
      <c r="F19" s="22"/>
    </row>
    <row r="20" spans="1:6" x14ac:dyDescent="0.3">
      <c r="A20" s="116"/>
      <c r="B20" s="116"/>
      <c r="C20" s="22"/>
      <c r="D20" s="22"/>
      <c r="E20" s="22"/>
      <c r="F20" s="22"/>
    </row>
    <row r="21" spans="1:6" x14ac:dyDescent="0.3">
      <c r="A21" s="118" t="s">
        <v>113</v>
      </c>
      <c r="B21" s="119" t="s">
        <v>112</v>
      </c>
      <c r="C21" s="28">
        <f>(B17-C17)/B17</f>
        <v>0.64200477326968974</v>
      </c>
      <c r="D21" s="26" t="s">
        <v>114</v>
      </c>
      <c r="E21" s="27"/>
      <c r="F21" s="22"/>
    </row>
    <row r="22" spans="1:6" x14ac:dyDescent="0.3">
      <c r="A22" s="116"/>
      <c r="B22" s="116"/>
      <c r="C22" s="22"/>
      <c r="D22" s="22"/>
      <c r="E22" s="22"/>
      <c r="F22" s="22"/>
    </row>
    <row r="23" spans="1:6" x14ac:dyDescent="0.3">
      <c r="A23" s="116"/>
      <c r="B23" s="116"/>
      <c r="C23" s="22"/>
      <c r="D23" s="22"/>
      <c r="E23" s="22"/>
      <c r="F23" s="2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6CA65-E580-4DB0-AEBD-08F2A36E17EB}">
  <dimension ref="A1:AA91"/>
  <sheetViews>
    <sheetView topLeftCell="A45" zoomScaleNormal="100" workbookViewId="0">
      <selection activeCell="L58" sqref="L58"/>
    </sheetView>
  </sheetViews>
  <sheetFormatPr baseColWidth="10" defaultRowHeight="15" x14ac:dyDescent="0.25"/>
  <cols>
    <col min="1" max="1" width="78.42578125" customWidth="1"/>
    <col min="2" max="2" width="26.5703125" customWidth="1"/>
    <col min="3" max="3" width="11.42578125" customWidth="1"/>
    <col min="4" max="4" width="24" customWidth="1"/>
    <col min="5" max="5" width="18.140625" customWidth="1"/>
    <col min="6" max="6" width="15.7109375" customWidth="1"/>
    <col min="7" max="7" width="18.140625" customWidth="1"/>
    <col min="8" max="8" width="7.42578125" customWidth="1"/>
    <col min="9" max="9" width="6.5703125" customWidth="1"/>
    <col min="10" max="10" width="7" customWidth="1"/>
  </cols>
  <sheetData>
    <row r="1" spans="1:27" ht="15.75" x14ac:dyDescent="0.25">
      <c r="A1" s="29" t="s">
        <v>212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7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27" ht="15.75" x14ac:dyDescent="0.25">
      <c r="A3" s="23" t="s">
        <v>138</v>
      </c>
      <c r="B3" s="23">
        <v>135000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</row>
    <row r="4" spans="1:27" ht="15.75" x14ac:dyDescent="0.25">
      <c r="A4" s="23" t="s">
        <v>139</v>
      </c>
      <c r="B4" s="23">
        <v>300000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</row>
    <row r="5" spans="1:27" ht="15.75" x14ac:dyDescent="0.25">
      <c r="A5" s="109" t="s">
        <v>213</v>
      </c>
      <c r="B5" s="23">
        <f>B4-B3</f>
        <v>165000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</row>
    <row r="6" spans="1:27" x14ac:dyDescent="0.25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</row>
    <row r="7" spans="1:27" ht="15.75" x14ac:dyDescent="0.25">
      <c r="A7" s="29" t="s">
        <v>140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14"/>
      <c r="U7" s="14"/>
      <c r="V7" s="14"/>
      <c r="W7" s="14"/>
      <c r="X7" s="14"/>
      <c r="Y7" s="14"/>
      <c r="Z7" s="14"/>
      <c r="AA7" s="14"/>
    </row>
    <row r="8" spans="1:27" ht="15.75" x14ac:dyDescent="0.25">
      <c r="A8" s="30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14"/>
      <c r="U8" s="14"/>
      <c r="V8" s="14"/>
      <c r="W8" s="14"/>
      <c r="X8" s="14"/>
      <c r="Y8" s="14"/>
      <c r="Z8" s="14"/>
      <c r="AA8" s="14"/>
    </row>
    <row r="9" spans="1:27" ht="15.75" x14ac:dyDescent="0.25">
      <c r="A9" s="69" t="s">
        <v>150</v>
      </c>
      <c r="C9" s="35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14"/>
      <c r="U9" s="14"/>
      <c r="V9" s="14"/>
      <c r="W9" s="14"/>
      <c r="X9" s="14"/>
      <c r="Y9" s="14"/>
      <c r="Z9" s="14"/>
      <c r="AA9" s="14"/>
    </row>
    <row r="10" spans="1:27" ht="15.75" x14ac:dyDescent="0.25">
      <c r="A10" s="51"/>
      <c r="C10" s="35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14"/>
      <c r="U10" s="14"/>
      <c r="V10" s="14"/>
      <c r="W10" s="14"/>
      <c r="X10" s="14"/>
      <c r="Y10" s="14"/>
      <c r="Z10" s="14"/>
      <c r="AA10" s="14"/>
    </row>
    <row r="11" spans="1:27" ht="15.75" x14ac:dyDescent="0.25">
      <c r="A11" s="23" t="s">
        <v>141</v>
      </c>
      <c r="B11" s="23">
        <v>300000</v>
      </c>
      <c r="C11" s="22"/>
      <c r="D11" s="53" t="s">
        <v>146</v>
      </c>
      <c r="E11" s="54"/>
      <c r="F11" s="55"/>
      <c r="G11" s="56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14"/>
      <c r="U11" s="14"/>
      <c r="V11" s="14"/>
      <c r="W11" s="14"/>
      <c r="X11" s="14"/>
      <c r="Y11" s="14"/>
      <c r="Z11" s="14"/>
      <c r="AA11" s="14"/>
    </row>
    <row r="12" spans="1:27" ht="15.75" x14ac:dyDescent="0.25">
      <c r="A12" s="23" t="s">
        <v>148</v>
      </c>
      <c r="B12" s="23">
        <v>135000</v>
      </c>
      <c r="C12" s="22"/>
      <c r="D12" s="57"/>
      <c r="E12" s="58"/>
      <c r="F12" s="59"/>
      <c r="G12" s="60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14"/>
      <c r="U12" s="14"/>
      <c r="V12" s="14"/>
      <c r="W12" s="14"/>
      <c r="X12" s="14"/>
      <c r="Y12" s="14"/>
      <c r="Z12" s="14"/>
      <c r="AA12" s="14"/>
    </row>
    <row r="13" spans="1:27" ht="15.75" x14ac:dyDescent="0.25">
      <c r="A13" s="23" t="s">
        <v>149</v>
      </c>
      <c r="B13" s="101">
        <f>'1.Tableau impact PEB'!B12</f>
        <v>61450.441599999998</v>
      </c>
      <c r="C13" s="22"/>
      <c r="D13" s="61" t="s">
        <v>144</v>
      </c>
      <c r="E13" s="59">
        <v>0.125</v>
      </c>
      <c r="F13" s="62" t="s">
        <v>143</v>
      </c>
      <c r="G13" s="63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14"/>
      <c r="U13" s="14"/>
      <c r="V13" s="14"/>
      <c r="W13" s="14"/>
      <c r="X13" s="14"/>
      <c r="Y13" s="14"/>
      <c r="Z13" s="14"/>
      <c r="AA13" s="14"/>
    </row>
    <row r="14" spans="1:27" ht="15.75" x14ac:dyDescent="0.25">
      <c r="A14" s="68" t="s">
        <v>211</v>
      </c>
      <c r="B14" s="23">
        <f>B12*E13</f>
        <v>16875</v>
      </c>
      <c r="C14" s="22"/>
      <c r="D14" s="64" t="s">
        <v>145</v>
      </c>
      <c r="E14" s="65" t="s">
        <v>142</v>
      </c>
      <c r="F14" s="66"/>
      <c r="G14" s="67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14"/>
      <c r="U14" s="14"/>
      <c r="V14" s="14"/>
      <c r="W14" s="14"/>
      <c r="X14" s="14"/>
      <c r="Y14" s="14"/>
      <c r="Z14" s="14"/>
      <c r="AA14" s="14"/>
    </row>
    <row r="15" spans="1:27" ht="15.75" x14ac:dyDescent="0.25">
      <c r="A15" s="68" t="s">
        <v>147</v>
      </c>
      <c r="B15" s="23">
        <f>(B14/0.8)*0.2</f>
        <v>4218.75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14"/>
      <c r="U15" s="14"/>
      <c r="V15" s="14"/>
      <c r="W15" s="14"/>
      <c r="X15" s="14"/>
      <c r="Y15" s="14"/>
      <c r="Z15" s="14"/>
      <c r="AA15" s="14"/>
    </row>
    <row r="16" spans="1:27" ht="15.75" x14ac:dyDescent="0.25">
      <c r="A16" s="68" t="s">
        <v>73</v>
      </c>
      <c r="B16" s="23">
        <f>$B$14+$B$15</f>
        <v>21093.75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14"/>
      <c r="U16" s="14"/>
      <c r="V16" s="14"/>
      <c r="W16" s="14"/>
      <c r="X16" s="14"/>
      <c r="Y16" s="14"/>
      <c r="Z16" s="14"/>
      <c r="AA16" s="14"/>
    </row>
    <row r="17" spans="1:27" ht="15.75" x14ac:dyDescent="0.25">
      <c r="A17" s="34" t="s">
        <v>214</v>
      </c>
      <c r="B17" s="108">
        <f>B11-B12-B13-B16</f>
        <v>82455.808400000009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14"/>
      <c r="U17" s="14"/>
      <c r="V17" s="14"/>
      <c r="W17" s="14"/>
      <c r="X17" s="14"/>
      <c r="Y17" s="14"/>
      <c r="Z17" s="14"/>
      <c r="AA17" s="14"/>
    </row>
    <row r="18" spans="1:27" ht="15.75" x14ac:dyDescent="0.25">
      <c r="A18" s="30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14"/>
      <c r="U18" s="14"/>
      <c r="V18" s="14"/>
      <c r="W18" s="14"/>
      <c r="X18" s="14"/>
      <c r="Y18" s="14"/>
      <c r="Z18" s="14"/>
      <c r="AA18" s="14"/>
    </row>
    <row r="19" spans="1:27" ht="15.75" x14ac:dyDescent="0.25">
      <c r="A19" s="30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14"/>
      <c r="U19" s="14"/>
      <c r="V19" s="14"/>
      <c r="W19" s="14"/>
      <c r="X19" s="14"/>
      <c r="Y19" s="14"/>
      <c r="Z19" s="14"/>
      <c r="AA19" s="14"/>
    </row>
    <row r="20" spans="1:27" ht="15.75" x14ac:dyDescent="0.25">
      <c r="A20" s="29" t="s">
        <v>215</v>
      </c>
      <c r="B20" s="74" t="s">
        <v>151</v>
      </c>
      <c r="C20" s="22"/>
      <c r="D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14"/>
      <c r="U20" s="14"/>
      <c r="V20" s="14"/>
      <c r="W20" s="14"/>
      <c r="X20" s="14"/>
      <c r="Y20" s="14"/>
      <c r="Z20" s="14"/>
      <c r="AA20" s="14"/>
    </row>
    <row r="21" spans="1:27" ht="15.75" x14ac:dyDescent="0.25">
      <c r="B21" s="22"/>
      <c r="C21" s="22"/>
      <c r="D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14"/>
      <c r="U21" s="14"/>
      <c r="V21" s="14"/>
      <c r="W21" s="14"/>
      <c r="X21" s="14"/>
      <c r="Y21" s="14"/>
      <c r="Z21" s="14"/>
      <c r="AA21" s="14"/>
    </row>
    <row r="22" spans="1:27" ht="15.75" x14ac:dyDescent="0.25">
      <c r="B22" s="22"/>
      <c r="C22" s="22"/>
      <c r="D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14"/>
      <c r="U22" s="14"/>
      <c r="V22" s="14"/>
      <c r="W22" s="14"/>
      <c r="X22" s="14"/>
      <c r="Y22" s="14"/>
      <c r="Z22" s="14"/>
      <c r="AA22" s="14"/>
    </row>
    <row r="23" spans="1:27" ht="15.75" x14ac:dyDescent="0.25">
      <c r="B23" s="22"/>
      <c r="C23" s="22"/>
      <c r="D23" s="22"/>
      <c r="E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14"/>
      <c r="U23" s="14"/>
      <c r="V23" s="14"/>
      <c r="W23" s="14"/>
      <c r="X23" s="14"/>
      <c r="Y23" s="14"/>
      <c r="Z23" s="14"/>
      <c r="AA23" s="14"/>
    </row>
    <row r="24" spans="1:27" ht="15.75" x14ac:dyDescent="0.25">
      <c r="B24" s="22"/>
      <c r="C24" s="22"/>
      <c r="D24" s="22"/>
      <c r="E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14"/>
      <c r="U24" s="14"/>
      <c r="V24" s="14"/>
      <c r="W24" s="14"/>
      <c r="X24" s="14"/>
      <c r="Y24" s="14"/>
      <c r="Z24" s="14"/>
      <c r="AA24" s="14"/>
    </row>
    <row r="25" spans="1:27" ht="15.75" x14ac:dyDescent="0.25">
      <c r="B25" s="22"/>
      <c r="C25" s="22"/>
      <c r="D25" s="22"/>
      <c r="E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14"/>
      <c r="U25" s="14"/>
      <c r="V25" s="14"/>
      <c r="W25" s="14"/>
      <c r="X25" s="14"/>
      <c r="Y25" s="14"/>
      <c r="Z25" s="14"/>
      <c r="AA25" s="14"/>
    </row>
    <row r="26" spans="1:27" ht="15.75" x14ac:dyDescent="0.25">
      <c r="B26" s="22"/>
      <c r="C26" s="22"/>
      <c r="D26" s="22"/>
      <c r="E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14"/>
      <c r="U26" s="14"/>
      <c r="V26" s="14"/>
      <c r="W26" s="14"/>
      <c r="X26" s="14"/>
      <c r="Y26" s="14"/>
      <c r="Z26" s="14"/>
      <c r="AA26" s="14"/>
    </row>
    <row r="27" spans="1:27" ht="15.75" x14ac:dyDescent="0.25">
      <c r="B27" s="22"/>
      <c r="C27" s="22"/>
      <c r="D27" s="22"/>
      <c r="E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14"/>
      <c r="U27" s="14"/>
      <c r="V27" s="14"/>
      <c r="W27" s="14"/>
      <c r="X27" s="14"/>
      <c r="Y27" s="14"/>
      <c r="Z27" s="14"/>
      <c r="AA27" s="14"/>
    </row>
    <row r="28" spans="1:27" ht="15.75" x14ac:dyDescent="0.25">
      <c r="B28" s="22"/>
      <c r="C28" s="22"/>
      <c r="D28" s="22"/>
      <c r="E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14"/>
      <c r="U28" s="14"/>
      <c r="V28" s="14"/>
      <c r="W28" s="14"/>
      <c r="X28" s="14"/>
      <c r="Y28" s="14"/>
      <c r="Z28" s="14"/>
      <c r="AA28" s="14"/>
    </row>
    <row r="29" spans="1:27" ht="15.75" x14ac:dyDescent="0.25">
      <c r="B29" s="22"/>
      <c r="C29" s="22"/>
      <c r="D29" s="22"/>
      <c r="E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14"/>
      <c r="U29" s="14"/>
      <c r="V29" s="14"/>
      <c r="W29" s="14"/>
      <c r="X29" s="14"/>
      <c r="Y29" s="14"/>
      <c r="Z29" s="14"/>
      <c r="AA29" s="14"/>
    </row>
    <row r="30" spans="1:27" ht="15.75" x14ac:dyDescent="0.25">
      <c r="B30" s="22"/>
      <c r="C30" s="22"/>
      <c r="D30" s="22"/>
      <c r="E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14"/>
      <c r="U30" s="14"/>
      <c r="V30" s="14"/>
      <c r="W30" s="14"/>
      <c r="X30" s="14"/>
      <c r="Y30" s="14"/>
      <c r="Z30" s="14"/>
      <c r="AA30" s="14"/>
    </row>
    <row r="31" spans="1:27" ht="15.75" x14ac:dyDescent="0.25">
      <c r="A31" s="72" t="s">
        <v>154</v>
      </c>
      <c r="B31" s="23">
        <v>135.30000000000001</v>
      </c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14"/>
      <c r="U31" s="14"/>
      <c r="V31" s="14"/>
      <c r="W31" s="14"/>
      <c r="X31" s="14"/>
      <c r="Y31" s="14"/>
      <c r="Z31" s="14"/>
      <c r="AA31" s="14"/>
    </row>
    <row r="32" spans="1:27" ht="15.75" x14ac:dyDescent="0.25">
      <c r="A32" s="72" t="s">
        <v>155</v>
      </c>
      <c r="B32" s="23">
        <v>102.89</v>
      </c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14"/>
      <c r="U32" s="14"/>
      <c r="V32" s="14"/>
      <c r="W32" s="14"/>
      <c r="X32" s="14"/>
      <c r="Y32" s="14"/>
      <c r="Z32" s="14"/>
      <c r="AA32" s="14"/>
    </row>
    <row r="33" spans="1:27" ht="15.75" x14ac:dyDescent="0.25">
      <c r="A33" s="23" t="s">
        <v>153</v>
      </c>
      <c r="B33" s="23">
        <v>300000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14"/>
      <c r="U33" s="14"/>
      <c r="V33" s="14"/>
      <c r="W33" s="14"/>
      <c r="X33" s="14"/>
      <c r="Y33" s="14"/>
      <c r="Z33" s="14"/>
      <c r="AA33" s="14"/>
    </row>
    <row r="34" spans="1:27" ht="15.75" x14ac:dyDescent="0.25">
      <c r="A34" s="23" t="s">
        <v>216</v>
      </c>
      <c r="B34" s="23">
        <v>135000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14"/>
      <c r="U34" s="14"/>
      <c r="V34" s="14"/>
      <c r="W34" s="14"/>
      <c r="X34" s="14"/>
      <c r="Y34" s="14"/>
      <c r="Z34" s="14"/>
      <c r="AA34" s="14"/>
    </row>
    <row r="35" spans="1:27" ht="16.5" thickBot="1" x14ac:dyDescent="0.3">
      <c r="A35" s="100" t="s">
        <v>158</v>
      </c>
      <c r="B35" s="107">
        <f>B34*B31/B32</f>
        <v>177524.54077169794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14"/>
      <c r="U35" s="14"/>
      <c r="V35" s="14"/>
      <c r="W35" s="14"/>
      <c r="X35" s="14"/>
      <c r="Y35" s="14"/>
      <c r="Z35" s="14"/>
      <c r="AA35" s="14"/>
    </row>
    <row r="36" spans="1:27" ht="15.75" x14ac:dyDescent="0.25">
      <c r="A36" s="30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14"/>
      <c r="U36" s="14"/>
      <c r="V36" s="14"/>
      <c r="W36" s="14"/>
      <c r="X36" s="14"/>
      <c r="Y36" s="14"/>
      <c r="Z36" s="14"/>
      <c r="AA36" s="14"/>
    </row>
    <row r="37" spans="1:27" ht="16.5" thickBot="1" x14ac:dyDescent="0.3">
      <c r="A37" s="99" t="s">
        <v>161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14"/>
      <c r="U37" s="14"/>
      <c r="V37" s="14"/>
      <c r="W37" s="14"/>
      <c r="X37" s="14"/>
      <c r="Y37" s="14"/>
      <c r="Z37" s="14"/>
      <c r="AA37" s="14"/>
    </row>
    <row r="38" spans="1:27" ht="15.75" x14ac:dyDescent="0.25">
      <c r="A38" s="30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14"/>
      <c r="U38" s="14"/>
      <c r="V38" s="14"/>
      <c r="W38" s="14"/>
      <c r="X38" s="14"/>
      <c r="Y38" s="14"/>
      <c r="Z38" s="14"/>
      <c r="AA38" s="14"/>
    </row>
    <row r="39" spans="1:27" ht="15.75" x14ac:dyDescent="0.25">
      <c r="A39" s="38" t="s">
        <v>159</v>
      </c>
      <c r="B39" s="39" t="s">
        <v>1</v>
      </c>
      <c r="C39" s="39" t="s">
        <v>2</v>
      </c>
      <c r="D39" s="39" t="s">
        <v>3</v>
      </c>
      <c r="E39" s="39" t="s">
        <v>4</v>
      </c>
      <c r="F39" s="39" t="s">
        <v>5</v>
      </c>
      <c r="G39" s="76" t="s">
        <v>152</v>
      </c>
      <c r="H39" s="68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14"/>
      <c r="U39" s="14"/>
      <c r="V39" s="14"/>
      <c r="W39" s="14"/>
      <c r="X39" s="14"/>
      <c r="Y39" s="14"/>
      <c r="Z39" s="14"/>
      <c r="AA39" s="14"/>
    </row>
    <row r="40" spans="1:27" ht="15.75" x14ac:dyDescent="0.25">
      <c r="A40" s="38">
        <v>2016</v>
      </c>
      <c r="B40" s="39"/>
      <c r="C40" s="39"/>
      <c r="D40" s="39"/>
      <c r="E40" s="39"/>
      <c r="F40" s="39"/>
      <c r="G40" s="77">
        <v>102.89</v>
      </c>
      <c r="H40" s="68" t="s">
        <v>156</v>
      </c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14"/>
      <c r="U40" s="14"/>
      <c r="V40" s="14"/>
      <c r="W40" s="14"/>
      <c r="X40" s="14"/>
      <c r="Y40" s="14"/>
      <c r="Z40" s="14"/>
      <c r="AA40" s="14"/>
    </row>
    <row r="41" spans="1:27" ht="15.75" x14ac:dyDescent="0.25">
      <c r="A41" s="38">
        <v>2017</v>
      </c>
      <c r="B41" s="39"/>
      <c r="C41" s="39">
        <f>10600+4724.42</f>
        <v>15324.42</v>
      </c>
      <c r="D41" s="39"/>
      <c r="E41" s="39"/>
      <c r="F41" s="39"/>
      <c r="G41" s="77">
        <v>105.08</v>
      </c>
      <c r="H41" s="68" t="s">
        <v>156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14"/>
      <c r="U41" s="14"/>
      <c r="V41" s="14"/>
      <c r="W41" s="14"/>
      <c r="X41" s="14"/>
      <c r="Y41" s="14"/>
      <c r="Z41" s="14"/>
      <c r="AA41" s="14"/>
    </row>
    <row r="42" spans="1:27" ht="15.75" x14ac:dyDescent="0.25">
      <c r="A42" s="38">
        <v>2018</v>
      </c>
      <c r="B42" s="39"/>
      <c r="C42" s="39"/>
      <c r="D42" s="39"/>
      <c r="E42" s="39"/>
      <c r="F42" s="39">
        <f>5245*1.06</f>
        <v>5559.7000000000007</v>
      </c>
      <c r="G42" s="77">
        <v>107.24</v>
      </c>
      <c r="H42" s="68" t="s">
        <v>156</v>
      </c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14"/>
      <c r="U42" s="14"/>
      <c r="V42" s="14"/>
      <c r="W42" s="14"/>
      <c r="X42" s="14"/>
      <c r="Y42" s="14"/>
      <c r="Z42" s="14"/>
      <c r="AA42" s="14"/>
    </row>
    <row r="43" spans="1:27" ht="15.75" x14ac:dyDescent="0.25">
      <c r="A43" s="38">
        <v>2019</v>
      </c>
      <c r="B43" s="39"/>
      <c r="C43" s="39"/>
      <c r="D43" s="39">
        <f>12288.36*1.06</f>
        <v>13025.661600000001</v>
      </c>
      <c r="E43" s="39">
        <f>2135.87</f>
        <v>2135.87</v>
      </c>
      <c r="F43" s="39"/>
      <c r="G43" s="77">
        <v>108.78</v>
      </c>
      <c r="H43" s="68" t="s">
        <v>156</v>
      </c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14"/>
      <c r="U43" s="14"/>
      <c r="V43" s="14"/>
      <c r="W43" s="14"/>
      <c r="X43" s="14"/>
      <c r="Y43" s="14"/>
      <c r="Z43" s="14"/>
      <c r="AA43" s="14"/>
    </row>
    <row r="44" spans="1:27" ht="15.75" x14ac:dyDescent="0.25">
      <c r="A44" s="38">
        <v>2020</v>
      </c>
      <c r="B44" s="39"/>
      <c r="C44" s="39"/>
      <c r="D44" s="39"/>
      <c r="E44" s="39">
        <f>3020.75</f>
        <v>3020.75</v>
      </c>
      <c r="F44" s="39"/>
      <c r="G44" s="77">
        <v>109.59</v>
      </c>
      <c r="H44" s="68" t="s">
        <v>156</v>
      </c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14"/>
      <c r="U44" s="14"/>
      <c r="V44" s="14"/>
      <c r="W44" s="14"/>
      <c r="X44" s="14"/>
      <c r="Y44" s="14"/>
      <c r="Z44" s="14"/>
      <c r="AA44" s="14"/>
    </row>
    <row r="45" spans="1:27" ht="15.75" x14ac:dyDescent="0.25">
      <c r="A45" s="38" t="s">
        <v>6</v>
      </c>
      <c r="B45" s="39"/>
      <c r="C45" s="39"/>
      <c r="D45" s="39"/>
      <c r="E45" s="39"/>
      <c r="F45" s="39"/>
      <c r="G45" s="78"/>
      <c r="H45" s="68" t="s">
        <v>156</v>
      </c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14"/>
      <c r="U45" s="14"/>
      <c r="V45" s="14"/>
      <c r="W45" s="14"/>
      <c r="X45" s="14"/>
      <c r="Y45" s="14"/>
      <c r="Z45" s="14"/>
      <c r="AA45" s="14"/>
    </row>
    <row r="46" spans="1:27" ht="15.75" x14ac:dyDescent="0.25">
      <c r="A46" s="38">
        <v>2025</v>
      </c>
      <c r="B46" s="39">
        <f>137.03+123.29+7.6+167.2+273.95+1104.16+3705.64</f>
        <v>5518.87</v>
      </c>
      <c r="C46" s="39">
        <f>5300+1983.2+3180</f>
        <v>10463.200000000001</v>
      </c>
      <c r="D46" s="39"/>
      <c r="E46" s="39">
        <f>2928.78+2173+873.91+303.63+53.2+69.45</f>
        <v>6401.97</v>
      </c>
      <c r="F46" s="39"/>
      <c r="G46" s="77">
        <v>135.30000000000001</v>
      </c>
      <c r="H46" s="68" t="s">
        <v>157</v>
      </c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14"/>
      <c r="U46" s="14"/>
      <c r="V46" s="14"/>
      <c r="W46" s="14"/>
      <c r="X46" s="14"/>
      <c r="Y46" s="14"/>
      <c r="Z46" s="14"/>
      <c r="AA46" s="14"/>
    </row>
    <row r="47" spans="1:27" ht="15.75" x14ac:dyDescent="0.25">
      <c r="A47" s="38" t="s">
        <v>160</v>
      </c>
      <c r="B47" s="104">
        <f>(B46*$G$46/$G46)+(B41*$G$46/$G40)</f>
        <v>5518.87</v>
      </c>
      <c r="C47" s="104">
        <f>(C46*$G$46/$G46)+(C41*$G$46/G41)</f>
        <v>30194.776189569853</v>
      </c>
      <c r="D47" s="104">
        <f>D43*$G$46/G43</f>
        <v>16201.250362934366</v>
      </c>
      <c r="E47" s="104">
        <f>(E43*G46/G43)+(E44*G46/G44)+(E46*G46/G46)</f>
        <v>12787.977108914252</v>
      </c>
      <c r="F47" s="104">
        <f>F42*G46/G42</f>
        <v>7014.4294106676634</v>
      </c>
      <c r="G47" s="75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14"/>
      <c r="U47" s="14"/>
      <c r="V47" s="14"/>
      <c r="W47" s="14"/>
      <c r="X47" s="14"/>
      <c r="Y47" s="14"/>
      <c r="Z47" s="14"/>
      <c r="AA47" s="14"/>
    </row>
    <row r="48" spans="1:27" ht="15.75" x14ac:dyDescent="0.25">
      <c r="A48" s="80" t="s">
        <v>163</v>
      </c>
      <c r="B48" s="102">
        <f>SUM(B47:F47)</f>
        <v>71717.303072086128</v>
      </c>
      <c r="C48" s="105"/>
      <c r="D48" s="105"/>
      <c r="E48" s="105"/>
      <c r="F48" s="105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14"/>
      <c r="U48" s="14"/>
      <c r="V48" s="14"/>
      <c r="W48" s="14"/>
      <c r="X48" s="14"/>
      <c r="Y48" s="14"/>
      <c r="Z48" s="14"/>
      <c r="AA48" s="14"/>
    </row>
    <row r="49" spans="1:27" ht="15.75" x14ac:dyDescent="0.25">
      <c r="A49" s="79"/>
      <c r="B49" s="106"/>
      <c r="C49" s="105"/>
      <c r="D49" s="105"/>
      <c r="E49" s="105"/>
      <c r="F49" s="105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14"/>
      <c r="U49" s="14"/>
      <c r="V49" s="14"/>
      <c r="W49" s="14"/>
      <c r="X49" s="14"/>
      <c r="Y49" s="14"/>
      <c r="Z49" s="14"/>
      <c r="AA49" s="14"/>
    </row>
    <row r="50" spans="1:27" ht="15.75" x14ac:dyDescent="0.25">
      <c r="A50" s="70" t="s">
        <v>162</v>
      </c>
      <c r="B50" s="102">
        <f>B16*G46/G40</f>
        <v>27738.209495577805</v>
      </c>
      <c r="C50" s="105"/>
      <c r="D50" s="105"/>
      <c r="E50" s="105"/>
      <c r="F50" s="105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14"/>
      <c r="U50" s="14"/>
      <c r="V50" s="14"/>
      <c r="W50" s="14"/>
      <c r="X50" s="14"/>
      <c r="Y50" s="14"/>
      <c r="Z50" s="14"/>
      <c r="AA50" s="14"/>
    </row>
    <row r="51" spans="1:27" ht="15.75" x14ac:dyDescent="0.25">
      <c r="A51" s="30"/>
      <c r="B51" s="105"/>
      <c r="C51" s="105"/>
      <c r="D51" s="105"/>
      <c r="E51" s="105"/>
      <c r="F51" s="105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14"/>
      <c r="U51" s="14"/>
      <c r="V51" s="14"/>
      <c r="W51" s="14"/>
      <c r="X51" s="14"/>
      <c r="Y51" s="14"/>
      <c r="Z51" s="14"/>
      <c r="AA51" s="14"/>
    </row>
    <row r="52" spans="1:27" ht="15.75" x14ac:dyDescent="0.25">
      <c r="A52" s="82" t="s">
        <v>217</v>
      </c>
      <c r="B52" s="102">
        <f>B33-B35-B48-B50</f>
        <v>23019.946660638128</v>
      </c>
      <c r="C52" s="105"/>
      <c r="D52" s="105"/>
      <c r="E52" s="105"/>
      <c r="F52" s="105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14"/>
      <c r="U52" s="14"/>
      <c r="V52" s="14"/>
      <c r="W52" s="14"/>
      <c r="X52" s="14"/>
      <c r="Y52" s="14"/>
      <c r="Z52" s="14"/>
      <c r="AA52" s="14"/>
    </row>
    <row r="53" spans="1:27" ht="15.75" x14ac:dyDescent="0.25">
      <c r="A53" s="30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14"/>
      <c r="U53" s="14"/>
      <c r="V53" s="14"/>
      <c r="W53" s="14"/>
      <c r="X53" s="14"/>
      <c r="Y53" s="14"/>
      <c r="Z53" s="14"/>
      <c r="AA53" s="14"/>
    </row>
    <row r="54" spans="1:27" ht="15.75" x14ac:dyDescent="0.25">
      <c r="A54" s="30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14"/>
      <c r="U54" s="14"/>
      <c r="V54" s="14"/>
      <c r="W54" s="14"/>
      <c r="X54" s="14"/>
      <c r="Y54" s="14"/>
      <c r="Z54" s="14"/>
      <c r="AA54" s="14"/>
    </row>
    <row r="55" spans="1:27" ht="15.75" x14ac:dyDescent="0.25">
      <c r="A55" s="30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14"/>
      <c r="U55" s="14"/>
      <c r="V55" s="14"/>
      <c r="W55" s="14"/>
      <c r="X55" s="14"/>
      <c r="Y55" s="14"/>
      <c r="Z55" s="14"/>
      <c r="AA55" s="14"/>
    </row>
    <row r="56" spans="1:27" ht="15.75" x14ac:dyDescent="0.25">
      <c r="A56" s="70" t="s">
        <v>218</v>
      </c>
      <c r="B56" s="22"/>
      <c r="C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14"/>
      <c r="U56" s="14"/>
      <c r="V56" s="14"/>
      <c r="W56" s="14"/>
      <c r="X56" s="14"/>
      <c r="Y56" s="14"/>
      <c r="Z56" s="14"/>
      <c r="AA56" s="14"/>
    </row>
    <row r="58" spans="1:27" ht="15.75" x14ac:dyDescent="0.25">
      <c r="D58" s="93" t="s">
        <v>219</v>
      </c>
      <c r="E58" s="94"/>
      <c r="F58" s="95"/>
      <c r="G58" s="85"/>
      <c r="H58" s="85"/>
    </row>
    <row r="59" spans="1:27" ht="15.75" x14ac:dyDescent="0.25">
      <c r="A59" s="21" t="s">
        <v>97</v>
      </c>
      <c r="B59" s="23">
        <v>300000</v>
      </c>
      <c r="C59" s="22"/>
      <c r="D59" s="96" t="s">
        <v>76</v>
      </c>
      <c r="E59" s="97"/>
      <c r="F59" s="98"/>
      <c r="G59" s="87"/>
      <c r="H59" s="86" t="s">
        <v>118</v>
      </c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14"/>
      <c r="U59" s="14"/>
      <c r="V59" s="14"/>
      <c r="W59" s="14"/>
      <c r="X59" s="14"/>
      <c r="Y59" s="14"/>
      <c r="Z59" s="14"/>
      <c r="AA59" s="14"/>
    </row>
    <row r="60" spans="1:27" ht="15.75" x14ac:dyDescent="0.25">
      <c r="A60" s="21" t="s">
        <v>164</v>
      </c>
      <c r="B60" s="101">
        <f>B35</f>
        <v>177524.54077169794</v>
      </c>
      <c r="C60" s="22"/>
      <c r="D60" s="88" t="s">
        <v>77</v>
      </c>
      <c r="E60" s="89"/>
      <c r="F60" s="89"/>
      <c r="G60" s="86">
        <v>50</v>
      </c>
      <c r="H60" s="110" t="s">
        <v>81</v>
      </c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14"/>
      <c r="U60" s="14"/>
      <c r="V60" s="14"/>
      <c r="W60" s="14"/>
      <c r="X60" s="14"/>
      <c r="Y60" s="14"/>
      <c r="Z60" s="14"/>
      <c r="AA60" s="14"/>
    </row>
    <row r="61" spans="1:27" ht="15.75" x14ac:dyDescent="0.25">
      <c r="A61" s="21" t="s">
        <v>165</v>
      </c>
      <c r="B61" s="101">
        <f>B48</f>
        <v>71717.303072086128</v>
      </c>
      <c r="C61" s="22"/>
      <c r="D61" s="90" t="s">
        <v>78</v>
      </c>
      <c r="E61" s="91"/>
      <c r="F61" s="91"/>
      <c r="G61" s="86">
        <v>25</v>
      </c>
      <c r="H61" s="110" t="s">
        <v>81</v>
      </c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14"/>
      <c r="U61" s="14"/>
      <c r="V61" s="14"/>
      <c r="W61" s="14"/>
      <c r="X61" s="14"/>
      <c r="Y61" s="14"/>
      <c r="Z61" s="14"/>
      <c r="AA61" s="14"/>
    </row>
    <row r="62" spans="1:27" ht="15.75" x14ac:dyDescent="0.25">
      <c r="A62" s="21" t="s">
        <v>220</v>
      </c>
      <c r="B62" s="101">
        <f>B50</f>
        <v>27738.209495577805</v>
      </c>
      <c r="C62" s="22"/>
      <c r="D62" s="112" t="s">
        <v>267</v>
      </c>
      <c r="E62" s="91"/>
      <c r="F62" s="91"/>
      <c r="G62" s="86">
        <v>20</v>
      </c>
      <c r="H62" s="110" t="s">
        <v>81</v>
      </c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14"/>
      <c r="U62" s="14"/>
      <c r="V62" s="14"/>
      <c r="W62" s="14"/>
      <c r="X62" s="14"/>
      <c r="Y62" s="14"/>
      <c r="Z62" s="14"/>
      <c r="AA62" s="14"/>
    </row>
    <row r="63" spans="1:27" ht="15.75" x14ac:dyDescent="0.25">
      <c r="A63" s="21" t="s">
        <v>221</v>
      </c>
      <c r="B63" s="101">
        <f>B60+B62+B61</f>
        <v>276980.05333936191</v>
      </c>
      <c r="C63" s="22"/>
      <c r="D63" s="90" t="s">
        <v>79</v>
      </c>
      <c r="E63" s="91"/>
      <c r="F63" s="91"/>
      <c r="G63" s="86">
        <v>10</v>
      </c>
      <c r="H63" s="110" t="s">
        <v>81</v>
      </c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14"/>
      <c r="U63" s="14"/>
      <c r="V63" s="14"/>
      <c r="W63" s="14"/>
      <c r="X63" s="14"/>
      <c r="Y63" s="14"/>
      <c r="Z63" s="14"/>
      <c r="AA63" s="14"/>
    </row>
    <row r="64" spans="1:27" ht="15.75" x14ac:dyDescent="0.25">
      <c r="A64" s="70" t="s">
        <v>166</v>
      </c>
      <c r="B64" s="102">
        <f>B59-B60-B61-B62</f>
        <v>23019.946660638128</v>
      </c>
      <c r="C64" s="22"/>
      <c r="D64" s="90" t="s">
        <v>80</v>
      </c>
      <c r="E64" s="91"/>
      <c r="F64" s="91"/>
      <c r="G64" s="86">
        <f>SUM(G60:G63)</f>
        <v>105</v>
      </c>
      <c r="H64" s="110" t="s">
        <v>81</v>
      </c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14"/>
      <c r="U64" s="14"/>
      <c r="V64" s="14"/>
      <c r="W64" s="14"/>
      <c r="X64" s="14"/>
      <c r="Y64" s="14"/>
      <c r="Z64" s="14"/>
      <c r="AA64" s="14"/>
    </row>
    <row r="65" spans="1:27" ht="15.75" x14ac:dyDescent="0.25">
      <c r="A65" s="84" t="s">
        <v>222</v>
      </c>
      <c r="B65" s="103">
        <f>B64-G66</f>
        <v>17769.946660638128</v>
      </c>
      <c r="C65" s="22"/>
      <c r="D65" s="92" t="s">
        <v>82</v>
      </c>
      <c r="E65" s="83"/>
      <c r="F65" s="83"/>
      <c r="G65" s="86">
        <v>50</v>
      </c>
      <c r="H65" s="110" t="s">
        <v>83</v>
      </c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14"/>
      <c r="U65" s="14"/>
      <c r="V65" s="14"/>
      <c r="W65" s="14"/>
      <c r="X65" s="14"/>
      <c r="Y65" s="14"/>
      <c r="Z65" s="14"/>
      <c r="AA65" s="14"/>
    </row>
    <row r="66" spans="1:27" ht="15.75" x14ac:dyDescent="0.25">
      <c r="A66" s="30"/>
      <c r="B66" s="22"/>
      <c r="C66" s="22"/>
      <c r="D66" s="84" t="s">
        <v>84</v>
      </c>
      <c r="E66" s="83"/>
      <c r="F66" s="83"/>
      <c r="G66" s="84">
        <f>G65*G64</f>
        <v>5250</v>
      </c>
      <c r="H66" s="110" t="s">
        <v>83</v>
      </c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14"/>
      <c r="U66" s="14"/>
      <c r="V66" s="14"/>
      <c r="W66" s="14"/>
      <c r="X66" s="14"/>
      <c r="Y66" s="14"/>
      <c r="Z66" s="14"/>
      <c r="AA66" s="14"/>
    </row>
    <row r="67" spans="1:27" ht="15.75" x14ac:dyDescent="0.25">
      <c r="A67" s="40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14"/>
      <c r="U67" s="14"/>
      <c r="V67" s="14"/>
      <c r="W67" s="14"/>
      <c r="X67" s="14"/>
      <c r="Y67" s="14"/>
      <c r="Z67" s="14"/>
      <c r="AA67" s="14"/>
    </row>
    <row r="68" spans="1:27" ht="15.75" x14ac:dyDescent="0.25">
      <c r="A68" s="40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14"/>
      <c r="U68" s="14"/>
      <c r="V68" s="14"/>
      <c r="W68" s="14"/>
      <c r="X68" s="14"/>
      <c r="Y68" s="14"/>
      <c r="Z68" s="14"/>
      <c r="AA68" s="14"/>
    </row>
    <row r="69" spans="1:27" ht="15.75" x14ac:dyDescent="0.25">
      <c r="A69" s="70" t="s">
        <v>174</v>
      </c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14"/>
      <c r="U69" s="14"/>
      <c r="V69" s="14"/>
      <c r="W69" s="14"/>
      <c r="X69" s="14"/>
      <c r="Y69" s="14"/>
      <c r="Z69" s="14"/>
      <c r="AA69" s="14"/>
    </row>
    <row r="70" spans="1:27" ht="15.75" x14ac:dyDescent="0.25">
      <c r="A70" s="41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14"/>
      <c r="U70" s="14"/>
      <c r="V70" s="14"/>
      <c r="W70" s="14"/>
      <c r="X70" s="14"/>
      <c r="Y70" s="14"/>
      <c r="Z70" s="14"/>
      <c r="AA70" s="14"/>
    </row>
    <row r="71" spans="1:27" ht="15.75" x14ac:dyDescent="0.25">
      <c r="A71" s="42" t="s">
        <v>64</v>
      </c>
      <c r="B71" s="43">
        <v>0</v>
      </c>
      <c r="C71" s="43">
        <v>1</v>
      </c>
      <c r="D71" s="43">
        <v>2</v>
      </c>
      <c r="E71" s="43">
        <v>3</v>
      </c>
      <c r="F71" s="43">
        <v>4</v>
      </c>
      <c r="G71" s="43">
        <v>5</v>
      </c>
      <c r="H71" s="43">
        <v>6</v>
      </c>
      <c r="I71" s="43">
        <v>7</v>
      </c>
      <c r="J71" s="43">
        <v>8</v>
      </c>
      <c r="K71" s="43">
        <v>9</v>
      </c>
      <c r="L71" s="22"/>
      <c r="M71" s="22"/>
      <c r="N71" s="22"/>
      <c r="O71" s="22"/>
      <c r="P71" s="22"/>
      <c r="Q71" s="22"/>
      <c r="R71" s="22"/>
      <c r="S71" s="22"/>
      <c r="T71" s="14"/>
      <c r="U71" s="14"/>
      <c r="V71" s="14"/>
      <c r="W71" s="14"/>
      <c r="X71" s="14"/>
      <c r="Y71" s="14"/>
      <c r="Z71" s="14"/>
      <c r="AA71" s="14"/>
    </row>
    <row r="72" spans="1:27" ht="16.5" thickBot="1" x14ac:dyDescent="0.3">
      <c r="A72" s="44" t="s">
        <v>65</v>
      </c>
      <c r="B72" s="45">
        <v>2016</v>
      </c>
      <c r="C72" s="45">
        <v>2017</v>
      </c>
      <c r="D72" s="45">
        <v>2018</v>
      </c>
      <c r="E72" s="45">
        <v>2019</v>
      </c>
      <c r="F72" s="45">
        <v>2020</v>
      </c>
      <c r="G72" s="45">
        <v>2021</v>
      </c>
      <c r="H72" s="45">
        <v>2022</v>
      </c>
      <c r="I72" s="45">
        <v>2023</v>
      </c>
      <c r="J72" s="45">
        <v>2024</v>
      </c>
      <c r="K72" s="45">
        <v>2025</v>
      </c>
      <c r="L72" s="22"/>
      <c r="M72" s="22"/>
      <c r="N72" s="22"/>
      <c r="O72" s="22"/>
      <c r="P72" s="22"/>
      <c r="Q72" s="22"/>
      <c r="R72" s="22"/>
      <c r="S72" s="22"/>
      <c r="T72" s="14"/>
      <c r="U72" s="14"/>
      <c r="V72" s="14"/>
      <c r="W72" s="14"/>
      <c r="X72" s="14"/>
      <c r="Y72" s="14"/>
      <c r="Z72" s="14"/>
      <c r="AA72" s="14"/>
    </row>
    <row r="73" spans="1:27" ht="15.75" x14ac:dyDescent="0.25">
      <c r="A73" s="24" t="s">
        <v>97</v>
      </c>
      <c r="B73" s="46"/>
      <c r="C73" s="46"/>
      <c r="D73" s="46"/>
      <c r="E73" s="46"/>
      <c r="F73" s="46"/>
      <c r="G73" s="46"/>
      <c r="H73" s="46"/>
      <c r="I73" s="46"/>
      <c r="J73" s="46"/>
      <c r="K73" s="46">
        <v>300000</v>
      </c>
      <c r="L73" s="22"/>
      <c r="M73" s="22"/>
      <c r="N73" s="22"/>
      <c r="O73" s="22"/>
      <c r="P73" s="22"/>
      <c r="Q73" s="22"/>
      <c r="R73" s="22"/>
      <c r="S73" s="22"/>
      <c r="T73" s="14"/>
      <c r="U73" s="14"/>
      <c r="V73" s="14"/>
      <c r="W73" s="14"/>
      <c r="X73" s="14"/>
      <c r="Y73" s="14"/>
      <c r="Z73" s="14"/>
      <c r="AA73" s="14"/>
    </row>
    <row r="74" spans="1:27" ht="15.75" x14ac:dyDescent="0.25">
      <c r="A74" s="21" t="s">
        <v>167</v>
      </c>
      <c r="B74" s="39">
        <v>135000</v>
      </c>
      <c r="C74" s="39"/>
      <c r="D74" s="39"/>
      <c r="E74" s="39"/>
      <c r="F74" s="39"/>
      <c r="G74" s="39"/>
      <c r="H74" s="39"/>
      <c r="I74" s="39"/>
      <c r="J74" s="39"/>
      <c r="K74" s="39"/>
      <c r="L74" s="22"/>
      <c r="M74" s="22"/>
      <c r="N74" s="22"/>
      <c r="O74" s="22"/>
      <c r="P74" s="22"/>
      <c r="Q74" s="22"/>
      <c r="R74" s="22"/>
      <c r="S74" s="22"/>
      <c r="T74" s="14"/>
      <c r="U74" s="14"/>
      <c r="V74" s="14"/>
      <c r="W74" s="14"/>
      <c r="X74" s="14"/>
      <c r="Y74" s="14"/>
      <c r="Z74" s="14"/>
      <c r="AA74" s="14"/>
    </row>
    <row r="75" spans="1:27" ht="15.75" x14ac:dyDescent="0.25">
      <c r="A75" s="21" t="s">
        <v>168</v>
      </c>
      <c r="B75" s="39"/>
      <c r="C75" s="39">
        <f>C41</f>
        <v>15324.42</v>
      </c>
      <c r="D75" s="39">
        <f>F42</f>
        <v>5559.7000000000007</v>
      </c>
      <c r="E75" s="39">
        <f>D43+E43</f>
        <v>15161.531600000002</v>
      </c>
      <c r="F75" s="39">
        <f>E44</f>
        <v>3020.75</v>
      </c>
      <c r="G75" s="39"/>
      <c r="H75" s="39"/>
      <c r="I75" s="39"/>
      <c r="J75" s="39"/>
      <c r="K75" s="39">
        <f>B46+C46+E46</f>
        <v>22384.04</v>
      </c>
      <c r="L75" s="22"/>
      <c r="M75" s="22"/>
      <c r="N75" s="22"/>
      <c r="O75" s="22"/>
      <c r="P75" s="22"/>
      <c r="Q75" s="22"/>
      <c r="R75" s="22"/>
      <c r="S75" s="22"/>
      <c r="T75" s="14"/>
      <c r="U75" s="14"/>
      <c r="V75" s="14"/>
      <c r="W75" s="14"/>
      <c r="X75" s="14"/>
      <c r="Y75" s="14"/>
      <c r="Z75" s="14"/>
      <c r="AA75" s="14"/>
    </row>
    <row r="76" spans="1:27" ht="15.75" x14ac:dyDescent="0.25">
      <c r="A76" s="111" t="s">
        <v>169</v>
      </c>
      <c r="B76" s="39"/>
      <c r="C76" s="39"/>
      <c r="D76" s="39"/>
      <c r="E76" s="39"/>
      <c r="F76" s="39"/>
      <c r="G76" s="39"/>
      <c r="H76" s="39"/>
      <c r="I76" s="39"/>
      <c r="J76" s="39"/>
      <c r="K76" s="39">
        <f>G66</f>
        <v>5250</v>
      </c>
      <c r="L76" s="22"/>
      <c r="M76" s="22"/>
      <c r="N76" s="22"/>
      <c r="O76" s="22"/>
      <c r="P76" s="22"/>
      <c r="Q76" s="22"/>
      <c r="R76" s="22"/>
      <c r="S76" s="22"/>
      <c r="T76" s="14"/>
      <c r="U76" s="14"/>
      <c r="V76" s="14"/>
      <c r="W76" s="14"/>
      <c r="X76" s="14"/>
      <c r="Y76" s="14"/>
      <c r="Z76" s="14"/>
      <c r="AA76" s="14"/>
    </row>
    <row r="77" spans="1:27" ht="15.75" x14ac:dyDescent="0.25">
      <c r="A77" s="21" t="s">
        <v>170</v>
      </c>
      <c r="B77" s="39">
        <f>$B$14+$B$15</f>
        <v>21093.75</v>
      </c>
      <c r="C77" s="39"/>
      <c r="D77" s="39"/>
      <c r="E77" s="39"/>
      <c r="F77" s="39"/>
      <c r="G77" s="39"/>
      <c r="H77" s="39"/>
      <c r="I77" s="39"/>
      <c r="J77" s="39"/>
      <c r="K77" s="39"/>
      <c r="L77" s="22"/>
      <c r="M77" s="22"/>
      <c r="N77" s="22"/>
      <c r="O77" s="22"/>
      <c r="P77" s="22"/>
      <c r="Q77" s="22"/>
      <c r="R77" s="22"/>
      <c r="S77" s="22"/>
      <c r="T77" s="14"/>
      <c r="U77" s="14"/>
      <c r="V77" s="14"/>
      <c r="W77" s="14"/>
      <c r="X77" s="14"/>
      <c r="Y77" s="14"/>
      <c r="Z77" s="14"/>
      <c r="AA77" s="14"/>
    </row>
    <row r="78" spans="1:27" ht="15.75" x14ac:dyDescent="0.25">
      <c r="A78" s="21" t="s">
        <v>171</v>
      </c>
      <c r="B78" s="39">
        <f>SUM(B74:B77)</f>
        <v>156093.75</v>
      </c>
      <c r="C78" s="39">
        <f t="shared" ref="C78:K78" si="0">SUM(C74:C77)</f>
        <v>15324.42</v>
      </c>
      <c r="D78" s="39">
        <f t="shared" si="0"/>
        <v>5559.7000000000007</v>
      </c>
      <c r="E78" s="39">
        <f t="shared" si="0"/>
        <v>15161.531600000002</v>
      </c>
      <c r="F78" s="39">
        <f t="shared" si="0"/>
        <v>3020.75</v>
      </c>
      <c r="G78" s="39">
        <f t="shared" si="0"/>
        <v>0</v>
      </c>
      <c r="H78" s="39">
        <f t="shared" si="0"/>
        <v>0</v>
      </c>
      <c r="I78" s="39">
        <f t="shared" si="0"/>
        <v>0</v>
      </c>
      <c r="J78" s="39">
        <f t="shared" si="0"/>
        <v>0</v>
      </c>
      <c r="K78" s="39">
        <f t="shared" si="0"/>
        <v>27634.04</v>
      </c>
      <c r="L78" s="22"/>
      <c r="M78" s="22"/>
      <c r="N78" s="22"/>
      <c r="O78" s="22"/>
      <c r="P78" s="22"/>
      <c r="Q78" s="22"/>
      <c r="R78" s="22"/>
      <c r="S78" s="22"/>
      <c r="T78" s="14"/>
      <c r="U78" s="14"/>
      <c r="V78" s="14"/>
      <c r="W78" s="14"/>
      <c r="X78" s="14"/>
      <c r="Y78" s="14"/>
      <c r="Z78" s="14"/>
      <c r="AA78" s="14"/>
    </row>
    <row r="79" spans="1:27" ht="15.75" x14ac:dyDescent="0.25">
      <c r="A79" s="21" t="s">
        <v>172</v>
      </c>
      <c r="B79" s="39">
        <f>B73-B75-B74-B77-B76</f>
        <v>-156093.75</v>
      </c>
      <c r="C79" s="39">
        <f t="shared" ref="C79:J79" si="1">C73-C75-C74-C77</f>
        <v>-15324.42</v>
      </c>
      <c r="D79" s="39">
        <f t="shared" si="1"/>
        <v>-5559.7000000000007</v>
      </c>
      <c r="E79" s="39">
        <f t="shared" si="1"/>
        <v>-15161.531600000002</v>
      </c>
      <c r="F79" s="39">
        <f>F73-F75-F74-F77</f>
        <v>-3020.75</v>
      </c>
      <c r="G79" s="39">
        <f t="shared" si="1"/>
        <v>0</v>
      </c>
      <c r="H79" s="39">
        <f t="shared" si="1"/>
        <v>0</v>
      </c>
      <c r="I79" s="39">
        <f t="shared" si="1"/>
        <v>0</v>
      </c>
      <c r="J79" s="39">
        <f t="shared" si="1"/>
        <v>0</v>
      </c>
      <c r="K79" s="39">
        <f>K73-K75-K74-K77-K76</f>
        <v>272365.96000000002</v>
      </c>
      <c r="L79" s="22"/>
      <c r="M79" s="22"/>
      <c r="N79" s="22"/>
      <c r="O79" s="22"/>
      <c r="P79" s="22"/>
      <c r="Q79" s="22"/>
      <c r="R79" s="22"/>
      <c r="S79" s="22"/>
      <c r="T79" s="14"/>
      <c r="U79" s="14"/>
      <c r="V79" s="14"/>
      <c r="W79" s="14"/>
      <c r="X79" s="14"/>
      <c r="Y79" s="14"/>
      <c r="Z79" s="14"/>
      <c r="AA79" s="14"/>
    </row>
    <row r="80" spans="1:27" s="6" customFormat="1" ht="15.75" x14ac:dyDescent="0.25">
      <c r="A80" s="70" t="s">
        <v>12</v>
      </c>
      <c r="B80" s="113">
        <f>IRR(B79:K79)</f>
        <v>3.9578297563958476E-2</v>
      </c>
      <c r="C80" s="48"/>
      <c r="D80" s="48"/>
      <c r="E80" s="48"/>
      <c r="F80" s="48"/>
      <c r="G80" s="48"/>
      <c r="H80" s="48"/>
      <c r="I80" s="48"/>
      <c r="J80" s="48"/>
      <c r="K80" s="48"/>
      <c r="L80" s="49"/>
      <c r="M80" s="49"/>
      <c r="N80" s="49"/>
      <c r="O80" s="49"/>
      <c r="P80" s="49"/>
      <c r="Q80" s="49"/>
      <c r="R80" s="49"/>
      <c r="S80" s="49"/>
      <c r="T80" s="17"/>
      <c r="U80" s="17"/>
      <c r="V80" s="17"/>
      <c r="W80" s="17"/>
      <c r="X80" s="17"/>
      <c r="Y80" s="17"/>
      <c r="Z80" s="17"/>
      <c r="AA80" s="17"/>
    </row>
    <row r="81" spans="1:24" ht="15.75" x14ac:dyDescent="0.25">
      <c r="A81" s="22"/>
      <c r="B81" s="22"/>
      <c r="C81" s="22"/>
      <c r="D81" s="22"/>
      <c r="E81" s="22"/>
      <c r="F81" s="22"/>
      <c r="G81" s="22"/>
      <c r="H81" s="22"/>
      <c r="I81" s="14"/>
      <c r="J81" s="14"/>
      <c r="K81" s="14"/>
      <c r="L81" s="14"/>
      <c r="M81" s="14"/>
      <c r="N81" s="14"/>
      <c r="O81" s="14"/>
      <c r="P81" s="14"/>
    </row>
    <row r="82" spans="1:24" ht="15.75" x14ac:dyDescent="0.25">
      <c r="A82" s="22"/>
      <c r="B82" s="22"/>
      <c r="C82" s="22"/>
      <c r="D82" s="22"/>
      <c r="E82" s="22"/>
      <c r="F82" s="22"/>
      <c r="G82" s="22"/>
      <c r="H82" s="22"/>
      <c r="I82" s="14"/>
      <c r="J82" s="14"/>
      <c r="K82" s="14"/>
      <c r="L82" s="14"/>
      <c r="M82" s="14"/>
      <c r="N82" s="14"/>
      <c r="O82" s="14"/>
      <c r="P82" s="14"/>
    </row>
    <row r="83" spans="1:24" ht="15.75" x14ac:dyDescent="0.25">
      <c r="A83" s="22" t="s">
        <v>210</v>
      </c>
      <c r="B83" s="22"/>
      <c r="C83" s="22"/>
      <c r="D83" s="22"/>
      <c r="E83" s="22"/>
      <c r="F83" s="22"/>
      <c r="G83" s="22"/>
      <c r="H83" s="22"/>
      <c r="I83" s="14"/>
      <c r="J83" s="14"/>
      <c r="K83" s="14"/>
      <c r="L83" s="14"/>
      <c r="M83" s="14"/>
      <c r="N83" s="14"/>
      <c r="O83" s="14"/>
      <c r="P83" s="14"/>
    </row>
    <row r="84" spans="1:24" ht="15.75" x14ac:dyDescent="0.25">
      <c r="A84" s="22"/>
      <c r="B84" s="22"/>
      <c r="C84" s="22"/>
      <c r="D84" s="22"/>
      <c r="E84" s="22"/>
      <c r="F84" s="22"/>
      <c r="G84" s="22"/>
      <c r="H84" s="22"/>
      <c r="I84" s="14"/>
      <c r="J84" s="14"/>
      <c r="K84" s="14"/>
      <c r="L84" s="14"/>
      <c r="M84" s="14"/>
      <c r="N84" s="14"/>
      <c r="O84" s="14"/>
      <c r="P84" s="14"/>
    </row>
    <row r="85" spans="1:24" ht="15.75" x14ac:dyDescent="0.25">
      <c r="A85" s="36" t="s">
        <v>0</v>
      </c>
      <c r="B85" s="22"/>
      <c r="C85" s="22"/>
      <c r="D85" s="22"/>
      <c r="E85" s="22"/>
      <c r="F85" s="22"/>
      <c r="G85" s="22"/>
      <c r="H85" s="22"/>
      <c r="I85" s="14"/>
      <c r="J85" s="14"/>
      <c r="K85" s="14"/>
      <c r="L85" s="14"/>
      <c r="M85" s="14"/>
      <c r="N85" s="14"/>
      <c r="O85" s="14"/>
      <c r="P85" s="14"/>
    </row>
    <row r="86" spans="1:24" ht="15.75" x14ac:dyDescent="0.25">
      <c r="A86" s="37" t="s">
        <v>75</v>
      </c>
      <c r="B86" s="22"/>
      <c r="C86" s="22"/>
      <c r="D86" s="22"/>
      <c r="E86" s="22"/>
      <c r="F86" s="22"/>
      <c r="G86" s="22"/>
      <c r="H86" s="22"/>
      <c r="I86" s="14"/>
      <c r="J86" s="14"/>
      <c r="K86" s="14"/>
      <c r="L86" s="14"/>
      <c r="M86" s="14"/>
      <c r="N86" s="14"/>
      <c r="O86" s="14"/>
      <c r="P86" s="14"/>
    </row>
    <row r="87" spans="1:24" ht="15.75" x14ac:dyDescent="0.25">
      <c r="A87" s="22"/>
      <c r="B87" s="22"/>
      <c r="C87" s="22"/>
      <c r="D87" s="22"/>
      <c r="E87" s="22"/>
      <c r="F87" s="22"/>
      <c r="G87" s="22"/>
      <c r="H87" s="22"/>
      <c r="I87" s="14"/>
      <c r="J87" s="14"/>
      <c r="K87" s="14"/>
      <c r="L87" s="14"/>
      <c r="M87" s="14"/>
      <c r="N87" s="14"/>
      <c r="O87" s="14"/>
    </row>
    <row r="88" spans="1:24" ht="15.75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24" ht="15.75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24" ht="15.75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ht="15.75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</sheetData>
  <phoneticPr fontId="3" type="noConversion"/>
  <hyperlinks>
    <hyperlink ref="A31" r:id="rId1" display="ipc 10/2025" xr:uid="{B3EF13FA-50B2-4296-87D0-DBF8BC62CDC6}"/>
    <hyperlink ref="A85" r:id="rId2" xr:uid="{ECA78A38-1B27-4681-BD6D-D381EFF092F7}"/>
    <hyperlink ref="A32" r:id="rId3" display="ipc 01/2026" xr:uid="{61AE019A-A69B-4A7A-A70B-7757AA10F3F8}"/>
    <hyperlink ref="A86" r:id="rId4" location="figures" display="https://statbel.fgov.be/fr/themes/prix-la-consommation/indice-des-prix-la-consommation - figures" xr:uid="{73A829D4-72AF-4BFE-A782-C401C68A3FE5}"/>
  </hyperlinks>
  <pageMargins left="0.7" right="0.7" top="0.75" bottom="0.75" header="0.3" footer="0.3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2D45C-A332-435B-86A2-9983F60618D9}">
  <dimension ref="A1:R41"/>
  <sheetViews>
    <sheetView topLeftCell="A14" zoomScale="85" zoomScaleNormal="85" workbookViewId="0">
      <selection activeCell="F49" sqref="F49"/>
    </sheetView>
  </sheetViews>
  <sheetFormatPr baseColWidth="10" defaultRowHeight="15" x14ac:dyDescent="0.25"/>
  <cols>
    <col min="1" max="1" width="28.7109375" customWidth="1"/>
    <col min="2" max="2" width="27.7109375" customWidth="1"/>
    <col min="3" max="3" width="41.42578125" customWidth="1"/>
    <col min="4" max="4" width="34.140625" customWidth="1"/>
    <col min="5" max="5" width="33.140625" customWidth="1"/>
    <col min="6" max="6" width="23.28515625" customWidth="1"/>
  </cols>
  <sheetData>
    <row r="1" spans="1:18" ht="15.75" x14ac:dyDescent="0.25">
      <c r="A1" s="30" t="s">
        <v>208</v>
      </c>
      <c r="B1" s="22"/>
      <c r="C1" s="22"/>
      <c r="D1" s="22"/>
      <c r="E1" s="22"/>
      <c r="H1" s="172" t="s">
        <v>228</v>
      </c>
    </row>
    <row r="2" spans="1:18" ht="16.5" thickBot="1" x14ac:dyDescent="0.3">
      <c r="A2" s="21" t="s">
        <v>85</v>
      </c>
      <c r="B2" s="21" t="s">
        <v>86</v>
      </c>
      <c r="C2" s="21" t="s">
        <v>229</v>
      </c>
      <c r="D2" s="21" t="s">
        <v>87</v>
      </c>
      <c r="E2" s="21" t="s">
        <v>88</v>
      </c>
      <c r="F2" s="16" t="s">
        <v>89</v>
      </c>
      <c r="H2" s="8" t="s">
        <v>65</v>
      </c>
      <c r="I2" s="8">
        <v>2016</v>
      </c>
      <c r="J2" s="8">
        <v>2017</v>
      </c>
      <c r="K2" s="8">
        <v>2018</v>
      </c>
      <c r="L2" s="8">
        <v>2019</v>
      </c>
      <c r="M2" s="8">
        <v>2020</v>
      </c>
      <c r="N2" s="8">
        <v>2021</v>
      </c>
      <c r="O2" s="8">
        <v>2022</v>
      </c>
      <c r="P2" s="8">
        <v>2023</v>
      </c>
      <c r="Q2" s="8">
        <v>2024</v>
      </c>
      <c r="R2" s="8">
        <v>2025</v>
      </c>
    </row>
    <row r="3" spans="1:18" ht="15.75" x14ac:dyDescent="0.25">
      <c r="A3" s="21">
        <v>2016</v>
      </c>
      <c r="B3" s="122">
        <f>I8</f>
        <v>156093.75</v>
      </c>
      <c r="C3" s="154">
        <v>4.9000000000000002E-2</v>
      </c>
      <c r="D3" s="101">
        <f>B3</f>
        <v>156093.75</v>
      </c>
      <c r="E3" s="101">
        <f>D3*C3</f>
        <v>7648.59375</v>
      </c>
      <c r="F3" s="12">
        <f>D3+E3</f>
        <v>163742.34375</v>
      </c>
      <c r="H3" s="7" t="s">
        <v>7</v>
      </c>
      <c r="I3" s="9"/>
      <c r="J3" s="9"/>
      <c r="K3" s="9"/>
      <c r="L3" s="9"/>
      <c r="M3" s="9"/>
      <c r="N3" s="9"/>
      <c r="O3" s="9"/>
      <c r="P3" s="9"/>
      <c r="Q3" s="9"/>
      <c r="R3" s="9">
        <v>300000</v>
      </c>
    </row>
    <row r="4" spans="1:18" ht="15.75" x14ac:dyDescent="0.25">
      <c r="A4" s="21">
        <v>2017</v>
      </c>
      <c r="B4" s="122">
        <f>J8</f>
        <v>15324.42</v>
      </c>
      <c r="C4" s="154">
        <v>0.151</v>
      </c>
      <c r="D4" s="101">
        <f>F3+B4</f>
        <v>179066.76375000001</v>
      </c>
      <c r="E4" s="101">
        <f>D4*C4</f>
        <v>27039.081326250001</v>
      </c>
      <c r="F4" s="12">
        <f>D4+E4</f>
        <v>206105.84507625003</v>
      </c>
      <c r="H4" s="2" t="s">
        <v>9</v>
      </c>
      <c r="I4" s="3">
        <v>135000</v>
      </c>
      <c r="J4" s="3"/>
      <c r="K4" s="3"/>
      <c r="L4" s="3"/>
      <c r="M4" s="3"/>
      <c r="N4" s="3"/>
      <c r="O4" s="3"/>
      <c r="P4" s="3"/>
      <c r="Q4" s="3"/>
      <c r="R4" s="3"/>
    </row>
    <row r="5" spans="1:18" ht="15.75" x14ac:dyDescent="0.25">
      <c r="A5" s="21">
        <v>2018</v>
      </c>
      <c r="B5" s="122">
        <f>K8</f>
        <v>5559.7000000000007</v>
      </c>
      <c r="C5" s="154">
        <v>-6.7000000000000004E-2</v>
      </c>
      <c r="D5" s="101">
        <f t="shared" ref="D5:D12" si="0">F4+B5</f>
        <v>211665.54507625004</v>
      </c>
      <c r="E5" s="101">
        <f t="shared" ref="E5:E12" si="1">D5*C5</f>
        <v>-14181.591520108754</v>
      </c>
      <c r="F5" s="12">
        <f t="shared" ref="F5:F12" si="2">D5+E5</f>
        <v>197483.95355614129</v>
      </c>
      <c r="H5" s="2" t="s">
        <v>10</v>
      </c>
      <c r="I5" s="3"/>
      <c r="J5" s="3">
        <v>15324.42</v>
      </c>
      <c r="K5" s="3">
        <v>5559.7000000000007</v>
      </c>
      <c r="L5" s="3">
        <v>15161.531600000002</v>
      </c>
      <c r="M5" s="3">
        <v>3020.75</v>
      </c>
      <c r="N5" s="3"/>
      <c r="O5" s="3"/>
      <c r="P5" s="3"/>
      <c r="Q5" s="3"/>
      <c r="R5" s="3">
        <v>22384.04</v>
      </c>
    </row>
    <row r="6" spans="1:18" ht="15.75" x14ac:dyDescent="0.25">
      <c r="A6" s="21">
        <v>2019</v>
      </c>
      <c r="B6" s="122">
        <f>L8</f>
        <v>15161.531600000002</v>
      </c>
      <c r="C6" s="154">
        <v>0.252</v>
      </c>
      <c r="D6" s="101">
        <f t="shared" si="0"/>
        <v>212645.48515614128</v>
      </c>
      <c r="E6" s="101">
        <f t="shared" si="1"/>
        <v>53586.662259347606</v>
      </c>
      <c r="F6" s="12">
        <f t="shared" si="2"/>
        <v>266232.1474154889</v>
      </c>
      <c r="H6" s="155" t="s">
        <v>84</v>
      </c>
      <c r="I6" s="3"/>
      <c r="J6" s="3"/>
      <c r="K6" s="3"/>
      <c r="L6" s="3"/>
      <c r="M6" s="3"/>
      <c r="N6" s="3"/>
      <c r="O6" s="3"/>
      <c r="P6" s="3"/>
      <c r="Q6" s="3"/>
      <c r="R6" s="3">
        <v>5250</v>
      </c>
    </row>
    <row r="7" spans="1:18" ht="15.75" x14ac:dyDescent="0.25">
      <c r="A7" s="21">
        <v>2020</v>
      </c>
      <c r="B7" s="122">
        <f>M8</f>
        <v>3020.75</v>
      </c>
      <c r="C7" s="154">
        <v>-8.7999999999999995E-2</v>
      </c>
      <c r="D7" s="101">
        <f t="shared" si="0"/>
        <v>269252.8974154889</v>
      </c>
      <c r="E7" s="101">
        <f t="shared" si="1"/>
        <v>-23694.254972563023</v>
      </c>
      <c r="F7" s="12">
        <f t="shared" si="2"/>
        <v>245558.64244292589</v>
      </c>
      <c r="H7" s="2" t="s">
        <v>11</v>
      </c>
      <c r="I7" s="3">
        <v>21093.75</v>
      </c>
      <c r="J7" s="3"/>
      <c r="K7" s="3"/>
      <c r="L7" s="3"/>
      <c r="M7" s="3"/>
      <c r="N7" s="3"/>
      <c r="O7" s="3"/>
      <c r="P7" s="3"/>
      <c r="Q7" s="3"/>
      <c r="R7" s="3"/>
    </row>
    <row r="8" spans="1:18" ht="15.75" x14ac:dyDescent="0.25">
      <c r="A8" s="21">
        <v>2021</v>
      </c>
      <c r="B8" s="122">
        <f>N8</f>
        <v>0</v>
      </c>
      <c r="C8" s="154">
        <v>8.6999999999999994E-2</v>
      </c>
      <c r="D8" s="101">
        <f t="shared" si="0"/>
        <v>245558.64244292589</v>
      </c>
      <c r="E8" s="101">
        <f t="shared" si="1"/>
        <v>21363.601892534552</v>
      </c>
      <c r="F8" s="12">
        <f t="shared" si="2"/>
        <v>266922.24433546042</v>
      </c>
      <c r="H8" s="2" t="s">
        <v>66</v>
      </c>
      <c r="I8" s="15">
        <v>156093.75</v>
      </c>
      <c r="J8" s="15">
        <v>15324.42</v>
      </c>
      <c r="K8" s="15">
        <v>5559.7000000000007</v>
      </c>
      <c r="L8" s="15">
        <v>15161.531600000002</v>
      </c>
      <c r="M8" s="15">
        <v>3020.75</v>
      </c>
      <c r="N8" s="15">
        <v>0</v>
      </c>
      <c r="O8" s="15">
        <v>0</v>
      </c>
      <c r="P8" s="15">
        <v>0</v>
      </c>
      <c r="Q8" s="15">
        <v>0</v>
      </c>
      <c r="R8" s="15">
        <v>27634.04</v>
      </c>
    </row>
    <row r="9" spans="1:18" ht="15.75" x14ac:dyDescent="0.25">
      <c r="A9" s="21">
        <v>2022</v>
      </c>
      <c r="B9" s="122">
        <f>O8</f>
        <v>0</v>
      </c>
      <c r="C9" s="154">
        <v>-0.378</v>
      </c>
      <c r="D9" s="101">
        <f t="shared" si="0"/>
        <v>266922.24433546042</v>
      </c>
      <c r="E9" s="101">
        <f t="shared" si="1"/>
        <v>-100896.60835880403</v>
      </c>
      <c r="F9" s="12">
        <f t="shared" si="2"/>
        <v>166025.6359766564</v>
      </c>
    </row>
    <row r="10" spans="1:18" ht="15.75" x14ac:dyDescent="0.25">
      <c r="A10" s="21">
        <v>2023</v>
      </c>
      <c r="B10" s="122">
        <f>P8</f>
        <v>0</v>
      </c>
      <c r="C10" s="154">
        <v>0.183</v>
      </c>
      <c r="D10" s="101">
        <f t="shared" si="0"/>
        <v>166025.6359766564</v>
      </c>
      <c r="E10" s="101">
        <f t="shared" si="1"/>
        <v>30382.691383728121</v>
      </c>
      <c r="F10" s="12">
        <f t="shared" si="2"/>
        <v>196408.32736038452</v>
      </c>
    </row>
    <row r="11" spans="1:18" ht="15.75" x14ac:dyDescent="0.25">
      <c r="A11" s="21">
        <v>2024</v>
      </c>
      <c r="B11" s="122">
        <f>Q8</f>
        <v>0</v>
      </c>
      <c r="C11" s="154">
        <v>-1E-3</v>
      </c>
      <c r="D11" s="101">
        <f t="shared" si="0"/>
        <v>196408.32736038452</v>
      </c>
      <c r="E11" s="101">
        <f t="shared" si="1"/>
        <v>-196.40832736038453</v>
      </c>
      <c r="F11" s="12">
        <f t="shared" si="2"/>
        <v>196211.91903302414</v>
      </c>
    </row>
    <row r="12" spans="1:18" ht="15.75" x14ac:dyDescent="0.25">
      <c r="A12" s="21">
        <v>2025</v>
      </c>
      <c r="B12" s="122">
        <f>R8</f>
        <v>27634.04</v>
      </c>
      <c r="C12" s="154">
        <v>8.3000000000000004E-2</v>
      </c>
      <c r="D12" s="101">
        <f t="shared" si="0"/>
        <v>223845.95903302415</v>
      </c>
      <c r="E12" s="101">
        <f t="shared" si="1"/>
        <v>18579.214599741004</v>
      </c>
      <c r="F12" s="13">
        <f t="shared" si="2"/>
        <v>242425.17363276516</v>
      </c>
    </row>
    <row r="13" spans="1:18" ht="15.75" x14ac:dyDescent="0.25">
      <c r="A13" s="22"/>
      <c r="B13" s="22"/>
      <c r="C13" s="22"/>
      <c r="D13" s="22"/>
      <c r="E13" s="22"/>
    </row>
    <row r="14" spans="1:18" ht="15.75" x14ac:dyDescent="0.25">
      <c r="A14" s="30" t="s">
        <v>120</v>
      </c>
      <c r="B14" s="106">
        <f>F12</f>
        <v>242425.17363276516</v>
      </c>
      <c r="C14" s="153"/>
      <c r="D14" s="22"/>
      <c r="E14" s="22"/>
    </row>
    <row r="15" spans="1:18" ht="15.75" x14ac:dyDescent="0.25">
      <c r="A15" s="166" t="s">
        <v>90</v>
      </c>
      <c r="B15" s="167"/>
      <c r="C15" s="22"/>
      <c r="D15" s="22"/>
      <c r="E15" s="22"/>
      <c r="F15" s="11"/>
    </row>
    <row r="16" spans="1:18" ht="15.75" x14ac:dyDescent="0.25">
      <c r="A16" s="168"/>
      <c r="B16" s="169"/>
      <c r="C16" s="169"/>
      <c r="D16" s="22"/>
      <c r="E16" s="22"/>
    </row>
    <row r="17" spans="1:5" ht="15.75" x14ac:dyDescent="0.25">
      <c r="A17" s="23"/>
      <c r="B17" s="47" t="s">
        <v>207</v>
      </c>
      <c r="C17" s="21" t="s">
        <v>91</v>
      </c>
      <c r="D17" s="22"/>
      <c r="E17" s="22"/>
    </row>
    <row r="18" spans="1:5" ht="15.75" x14ac:dyDescent="0.25">
      <c r="A18" s="21" t="s">
        <v>92</v>
      </c>
      <c r="B18" s="162">
        <v>300000</v>
      </c>
      <c r="C18" s="163">
        <f>F12</f>
        <v>242425.17363276516</v>
      </c>
      <c r="D18" s="22"/>
      <c r="E18" s="22"/>
    </row>
    <row r="19" spans="1:5" ht="15.75" x14ac:dyDescent="0.25">
      <c r="A19" s="21" t="s">
        <v>65</v>
      </c>
      <c r="B19" s="47" t="s">
        <v>8</v>
      </c>
      <c r="C19" s="21" t="s">
        <v>8</v>
      </c>
      <c r="D19" s="22"/>
      <c r="E19" s="22"/>
    </row>
    <row r="20" spans="1:5" ht="15.75" x14ac:dyDescent="0.25">
      <c r="A20" s="21">
        <v>2016</v>
      </c>
      <c r="B20" s="122">
        <v>-156093.75</v>
      </c>
      <c r="C20" s="23">
        <v>-156093.75</v>
      </c>
      <c r="D20" s="22" t="s">
        <v>121</v>
      </c>
      <c r="E20" s="22"/>
    </row>
    <row r="21" spans="1:5" ht="15.75" x14ac:dyDescent="0.25">
      <c r="A21" s="21">
        <v>2017</v>
      </c>
      <c r="B21" s="122">
        <v>-15324.42</v>
      </c>
      <c r="C21" s="23">
        <v>-15324.42</v>
      </c>
      <c r="D21" s="22" t="s">
        <v>10</v>
      </c>
      <c r="E21" s="22"/>
    </row>
    <row r="22" spans="1:5" ht="15.75" x14ac:dyDescent="0.25">
      <c r="A22" s="21">
        <v>2018</v>
      </c>
      <c r="B22" s="122">
        <v>-5559.7</v>
      </c>
      <c r="C22" s="23">
        <v>-5559.7</v>
      </c>
      <c r="D22" s="22" t="s">
        <v>10</v>
      </c>
      <c r="E22" s="22"/>
    </row>
    <row r="23" spans="1:5" ht="15.75" x14ac:dyDescent="0.25">
      <c r="A23" s="21">
        <v>2019</v>
      </c>
      <c r="B23" s="122">
        <v>-15161.5316</v>
      </c>
      <c r="C23" s="23">
        <v>-15161.5316</v>
      </c>
      <c r="D23" s="22" t="s">
        <v>10</v>
      </c>
      <c r="E23" s="22"/>
    </row>
    <row r="24" spans="1:5" ht="15.75" x14ac:dyDescent="0.25">
      <c r="A24" s="21">
        <v>2020</v>
      </c>
      <c r="B24" s="122">
        <v>-3020.75</v>
      </c>
      <c r="C24" s="23">
        <v>-3020.75</v>
      </c>
      <c r="D24" s="22" t="s">
        <v>10</v>
      </c>
      <c r="E24" s="22"/>
    </row>
    <row r="25" spans="1:5" ht="15.75" x14ac:dyDescent="0.25">
      <c r="A25" s="21">
        <v>2021</v>
      </c>
      <c r="B25" s="122">
        <v>0</v>
      </c>
      <c r="C25" s="23">
        <v>0</v>
      </c>
      <c r="D25" s="22" t="s">
        <v>10</v>
      </c>
      <c r="E25" s="22"/>
    </row>
    <row r="26" spans="1:5" ht="15.75" x14ac:dyDescent="0.25">
      <c r="A26" s="21">
        <v>2022</v>
      </c>
      <c r="B26" s="122">
        <v>0</v>
      </c>
      <c r="C26" s="23">
        <v>0</v>
      </c>
      <c r="D26" s="22" t="s">
        <v>10</v>
      </c>
      <c r="E26" s="22"/>
    </row>
    <row r="27" spans="1:5" ht="15.75" x14ac:dyDescent="0.25">
      <c r="A27" s="21">
        <v>2023</v>
      </c>
      <c r="B27" s="122">
        <v>0</v>
      </c>
      <c r="C27" s="23">
        <v>0</v>
      </c>
      <c r="D27" s="22" t="s">
        <v>10</v>
      </c>
      <c r="E27" s="22"/>
    </row>
    <row r="28" spans="1:5" ht="15.75" x14ac:dyDescent="0.25">
      <c r="A28" s="21">
        <v>2024</v>
      </c>
      <c r="B28" s="122">
        <v>0</v>
      </c>
      <c r="C28" s="23">
        <v>0</v>
      </c>
      <c r="D28" s="22" t="s">
        <v>10</v>
      </c>
      <c r="E28" s="22"/>
    </row>
    <row r="29" spans="1:5" ht="15.75" x14ac:dyDescent="0.25">
      <c r="A29" s="21">
        <v>2025</v>
      </c>
      <c r="B29" s="122">
        <f>-27634.04+300000</f>
        <v>272365.96000000002</v>
      </c>
      <c r="C29" s="101">
        <f>-27634.04+F12</f>
        <v>214791.13363276515</v>
      </c>
      <c r="D29" s="22" t="s">
        <v>122</v>
      </c>
      <c r="E29" s="22"/>
    </row>
    <row r="30" spans="1:5" ht="15.75" x14ac:dyDescent="0.25">
      <c r="A30" s="21" t="s">
        <v>12</v>
      </c>
      <c r="B30" s="164">
        <f>IRR(B20:B29)</f>
        <v>3.9578297563958476E-2</v>
      </c>
      <c r="C30" s="165">
        <f>IRR(C20:C29)</f>
        <v>1.1240270686375453E-2</v>
      </c>
      <c r="D30" s="22"/>
      <c r="E30" s="22"/>
    </row>
    <row r="31" spans="1:5" ht="15.75" x14ac:dyDescent="0.25">
      <c r="A31" s="21" t="s">
        <v>231</v>
      </c>
      <c r="B31" s="154">
        <f>B30-C30</f>
        <v>2.8338026877583022E-2</v>
      </c>
      <c r="C31" s="23"/>
      <c r="D31" s="22"/>
      <c r="E31" s="22"/>
    </row>
    <row r="32" spans="1:5" ht="15.75" x14ac:dyDescent="0.25">
      <c r="A32" s="21" t="s">
        <v>123</v>
      </c>
      <c r="B32" s="23">
        <f>B18</f>
        <v>300000</v>
      </c>
      <c r="C32" s="22" t="s">
        <v>83</v>
      </c>
      <c r="D32" s="22"/>
      <c r="E32" s="22"/>
    </row>
    <row r="33" spans="1:9" ht="15.75" x14ac:dyDescent="0.25">
      <c r="A33" s="23" t="s">
        <v>120</v>
      </c>
      <c r="B33" s="108">
        <f>B14</f>
        <v>242425.17363276516</v>
      </c>
      <c r="C33" s="22" t="s">
        <v>83</v>
      </c>
      <c r="D33" s="22"/>
      <c r="E33" s="22"/>
    </row>
    <row r="34" spans="1:9" ht="15.75" x14ac:dyDescent="0.25">
      <c r="A34" s="21" t="s">
        <v>230</v>
      </c>
      <c r="B34" s="108">
        <f>B18-C18</f>
        <v>57574.82636723484</v>
      </c>
      <c r="C34" s="22"/>
      <c r="D34" s="22"/>
      <c r="E34" s="22"/>
    </row>
    <row r="35" spans="1:9" ht="15.75" x14ac:dyDescent="0.25">
      <c r="A35" s="22"/>
      <c r="B35" s="22"/>
      <c r="C35" s="22"/>
      <c r="D35" s="22"/>
      <c r="E35" s="22"/>
    </row>
    <row r="36" spans="1:9" ht="15.75" x14ac:dyDescent="0.25">
      <c r="A36" s="22"/>
      <c r="B36" s="22"/>
      <c r="C36" s="22"/>
      <c r="D36" s="22"/>
      <c r="E36" s="22"/>
    </row>
    <row r="37" spans="1:9" ht="15.75" x14ac:dyDescent="0.25">
      <c r="A37" s="22"/>
      <c r="B37" s="22"/>
      <c r="C37" s="22"/>
      <c r="D37" s="22"/>
      <c r="E37" s="22"/>
    </row>
    <row r="38" spans="1:9" ht="15.75" x14ac:dyDescent="0.25">
      <c r="A38" s="22"/>
      <c r="B38" s="22"/>
      <c r="C38" s="22"/>
      <c r="D38" s="22"/>
      <c r="E38" s="22"/>
    </row>
    <row r="41" spans="1:9" x14ac:dyDescent="0.25">
      <c r="H41" t="s">
        <v>203</v>
      </c>
      <c r="I41" s="1" t="s">
        <v>117</v>
      </c>
    </row>
  </sheetData>
  <hyperlinks>
    <hyperlink ref="I41" r:id="rId1" display="https://www.blackrock.com/be/individual/fr/products/251808/ishares-european-property-yield-ucits-etf" xr:uid="{E2CA992E-E1D8-495C-B781-06D1C860B60A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07AE3-6BD5-4A11-93B4-77EB0DD1CF91}">
  <dimension ref="A1:BE50"/>
  <sheetViews>
    <sheetView zoomScaleNormal="100" workbookViewId="0">
      <selection activeCell="A29" sqref="A29"/>
    </sheetView>
  </sheetViews>
  <sheetFormatPr baseColWidth="10" defaultRowHeight="15" x14ac:dyDescent="0.25"/>
  <cols>
    <col min="1" max="1" width="54.42578125" customWidth="1"/>
    <col min="2" max="2" width="22.140625" customWidth="1"/>
    <col min="3" max="3" width="20.140625" customWidth="1"/>
    <col min="4" max="4" width="23.140625" customWidth="1"/>
    <col min="7" max="7" width="4.7109375" customWidth="1"/>
    <col min="8" max="8" width="5.5703125" customWidth="1"/>
    <col min="9" max="9" width="7.42578125" customWidth="1"/>
    <col min="10" max="10" width="7.85546875" customWidth="1"/>
  </cols>
  <sheetData>
    <row r="1" spans="1:12" ht="15.75" x14ac:dyDescent="0.25">
      <c r="A1" s="29" t="s">
        <v>119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15.75" x14ac:dyDescent="0.25">
      <c r="A2" s="23" t="s">
        <v>93</v>
      </c>
      <c r="B2" s="32">
        <v>135000</v>
      </c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ht="15.75" x14ac:dyDescent="0.25">
      <c r="A3" s="122" t="s">
        <v>96</v>
      </c>
      <c r="B3" s="32">
        <f>B2*B8</f>
        <v>177524.54077169794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ht="15.75" x14ac:dyDescent="0.25">
      <c r="A4" s="23" t="s">
        <v>95</v>
      </c>
      <c r="B4" s="32">
        <v>21093.75</v>
      </c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12" ht="15.75" x14ac:dyDescent="0.25">
      <c r="A5" s="122" t="s">
        <v>94</v>
      </c>
      <c r="B5" s="32">
        <f>B4*B8</f>
        <v>27738.209495577801</v>
      </c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2" ht="15.75" x14ac:dyDescent="0.25">
      <c r="A6" s="122" t="s">
        <v>232</v>
      </c>
      <c r="B6" s="32">
        <v>102.89</v>
      </c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 ht="15.75" x14ac:dyDescent="0.25">
      <c r="A7" s="122" t="s">
        <v>233</v>
      </c>
      <c r="B7" s="32">
        <v>135.30000000000001</v>
      </c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 ht="15.75" x14ac:dyDescent="0.25">
      <c r="A8" s="122" t="s">
        <v>234</v>
      </c>
      <c r="B8" s="124">
        <f>B7/B6</f>
        <v>1.3149965983088736</v>
      </c>
      <c r="C8" s="31"/>
      <c r="D8" s="31"/>
      <c r="E8" s="31"/>
      <c r="F8" s="31"/>
      <c r="G8" s="31"/>
      <c r="H8" s="31"/>
      <c r="I8" s="31"/>
      <c r="J8" s="31"/>
      <c r="K8" s="31"/>
      <c r="L8" s="31"/>
    </row>
    <row r="9" spans="1:12" ht="15.75" x14ac:dyDescent="0.25">
      <c r="A9" s="50" t="s">
        <v>235</v>
      </c>
      <c r="B9" s="32">
        <v>5250</v>
      </c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pans="1:12" ht="15.75" x14ac:dyDescent="0.25">
      <c r="A10" s="122" t="s">
        <v>236</v>
      </c>
      <c r="B10" s="32">
        <v>71717.3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12" ht="15.75" x14ac:dyDescent="0.25">
      <c r="A11" s="122" t="s">
        <v>238</v>
      </c>
      <c r="B11" s="32">
        <f>B3+B10+B5+B9</f>
        <v>282230.05026727571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12" x14ac:dyDescent="0.25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</row>
    <row r="13" spans="1:12" x14ac:dyDescent="0.25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</row>
    <row r="14" spans="1:12" ht="15.75" x14ac:dyDescent="0.25">
      <c r="A14" s="29" t="s">
        <v>124</v>
      </c>
      <c r="B14" s="29" t="s">
        <v>115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</row>
    <row r="15" spans="1:12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</row>
    <row r="16" spans="1:12" ht="15.75" x14ac:dyDescent="0.25">
      <c r="A16" s="21" t="s">
        <v>98</v>
      </c>
      <c r="B16" s="71" t="s">
        <v>100</v>
      </c>
      <c r="C16" s="47" t="s">
        <v>99</v>
      </c>
      <c r="D16" s="70" t="s">
        <v>239</v>
      </c>
      <c r="E16" s="31"/>
      <c r="F16" s="31"/>
      <c r="G16" s="31"/>
      <c r="H16" s="31"/>
      <c r="I16" s="31"/>
      <c r="J16" s="31"/>
      <c r="K16" s="31"/>
      <c r="L16" s="31"/>
    </row>
    <row r="17" spans="1:57" ht="15.75" x14ac:dyDescent="0.25">
      <c r="A17" s="21" t="s">
        <v>97</v>
      </c>
      <c r="B17" s="125">
        <f>300000*0.85</f>
        <v>255000</v>
      </c>
      <c r="C17" s="122">
        <f>300000</f>
        <v>300000</v>
      </c>
      <c r="D17" s="109">
        <f>C17*115%</f>
        <v>345000</v>
      </c>
      <c r="E17" s="31"/>
      <c r="F17" s="31"/>
      <c r="G17" s="31"/>
      <c r="H17" s="31"/>
      <c r="I17" s="31"/>
      <c r="J17" s="31"/>
      <c r="K17" s="31"/>
      <c r="L17" s="31"/>
    </row>
    <row r="18" spans="1:57" ht="15.75" x14ac:dyDescent="0.25">
      <c r="A18" s="21" t="s">
        <v>240</v>
      </c>
      <c r="B18" s="126">
        <f>$B$11</f>
        <v>282230.05026727571</v>
      </c>
      <c r="C18" s="122">
        <f t="shared" ref="C18:D18" si="0">$B$11</f>
        <v>282230.05026727571</v>
      </c>
      <c r="D18" s="109">
        <f t="shared" si="0"/>
        <v>282230.05026727571</v>
      </c>
      <c r="E18" s="31"/>
      <c r="F18" s="31"/>
      <c r="G18" s="31"/>
      <c r="H18" s="31"/>
      <c r="I18" s="31"/>
      <c r="J18" s="31"/>
      <c r="K18" s="31"/>
      <c r="L18" s="31"/>
    </row>
    <row r="19" spans="1:57" ht="15.75" x14ac:dyDescent="0.25">
      <c r="A19" s="21" t="s">
        <v>101</v>
      </c>
      <c r="B19" s="125">
        <f>B17-B18</f>
        <v>-27230.050267275714</v>
      </c>
      <c r="C19" s="127">
        <f t="shared" ref="C19:D19" si="1">C17-C18</f>
        <v>17769.949732724286</v>
      </c>
      <c r="D19" s="128">
        <f t="shared" si="1"/>
        <v>62769.949732724286</v>
      </c>
      <c r="E19" s="31"/>
      <c r="F19" s="31"/>
      <c r="G19" s="31"/>
      <c r="H19" s="31"/>
      <c r="I19" s="31"/>
      <c r="J19" s="31"/>
      <c r="K19" s="31"/>
      <c r="L19" s="31"/>
    </row>
    <row r="20" spans="1:57" x14ac:dyDescent="0.25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57" x14ac:dyDescent="0.2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</row>
    <row r="22" spans="1:57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</row>
    <row r="23" spans="1:57" ht="15.75" x14ac:dyDescent="0.25">
      <c r="A23" s="29" t="s">
        <v>241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</row>
    <row r="24" spans="1:57" x14ac:dyDescent="0.25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  <row r="25" spans="1:57" x14ac:dyDescent="0.2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</row>
    <row r="26" spans="1:57" x14ac:dyDescent="0.25">
      <c r="A26" s="81" t="s">
        <v>128</v>
      </c>
      <c r="B26" s="81">
        <v>2016</v>
      </c>
      <c r="C26" s="81">
        <v>2017</v>
      </c>
      <c r="D26" s="81">
        <v>2018</v>
      </c>
      <c r="E26" s="81">
        <v>2019</v>
      </c>
      <c r="F26" s="81">
        <v>2020</v>
      </c>
      <c r="G26" s="81">
        <v>2021</v>
      </c>
      <c r="H26" s="81">
        <v>2022</v>
      </c>
      <c r="I26" s="81">
        <v>2023</v>
      </c>
      <c r="J26" s="81">
        <v>2024</v>
      </c>
      <c r="K26" s="81">
        <v>2025</v>
      </c>
      <c r="L26" s="31"/>
    </row>
    <row r="27" spans="1:57" x14ac:dyDescent="0.25">
      <c r="A27" s="81" t="s">
        <v>129</v>
      </c>
      <c r="B27" s="81">
        <v>0</v>
      </c>
      <c r="C27" s="81">
        <v>1</v>
      </c>
      <c r="D27" s="81">
        <v>2</v>
      </c>
      <c r="E27" s="81">
        <v>3</v>
      </c>
      <c r="F27" s="81">
        <v>4</v>
      </c>
      <c r="G27" s="81">
        <v>5</v>
      </c>
      <c r="H27" s="81">
        <v>6</v>
      </c>
      <c r="I27" s="81">
        <v>7</v>
      </c>
      <c r="J27" s="81">
        <v>8</v>
      </c>
      <c r="K27" s="81">
        <v>9</v>
      </c>
      <c r="L27" s="31"/>
    </row>
    <row r="28" spans="1:57" x14ac:dyDescent="0.25">
      <c r="A28" s="32" t="s">
        <v>136</v>
      </c>
      <c r="B28" s="32">
        <f>B2+B4</f>
        <v>156093.75</v>
      </c>
      <c r="C28" s="32"/>
      <c r="D28" s="32"/>
      <c r="E28" s="32"/>
      <c r="F28" s="32"/>
      <c r="G28" s="32"/>
      <c r="H28" s="32"/>
      <c r="I28" s="32"/>
      <c r="J28" s="32"/>
      <c r="K28" s="32"/>
      <c r="L28" s="31"/>
    </row>
    <row r="29" spans="1:57" x14ac:dyDescent="0.25">
      <c r="A29" s="32" t="s">
        <v>242</v>
      </c>
      <c r="B29" s="32"/>
      <c r="C29" s="32">
        <v>15324.42</v>
      </c>
      <c r="D29" s="32">
        <v>5559.7</v>
      </c>
      <c r="E29" s="32">
        <f>13025.662+2135.87</f>
        <v>15161.531999999999</v>
      </c>
      <c r="F29" s="32">
        <v>3020.75</v>
      </c>
      <c r="G29" s="32"/>
      <c r="H29" s="32"/>
      <c r="I29" s="32"/>
      <c r="J29" s="32"/>
      <c r="K29" s="32">
        <f>5518.87+10463.2+6401.97</f>
        <v>22384.04</v>
      </c>
      <c r="L29" s="31"/>
    </row>
    <row r="30" spans="1:57" x14ac:dyDescent="0.25">
      <c r="A30" s="129" t="s">
        <v>237</v>
      </c>
      <c r="B30" s="129"/>
      <c r="C30" s="129"/>
      <c r="D30" s="129"/>
      <c r="E30" s="129"/>
      <c r="F30" s="129"/>
      <c r="G30" s="129"/>
      <c r="H30" s="129"/>
      <c r="I30" s="129"/>
      <c r="J30" s="129"/>
      <c r="K30" s="32">
        <v>5250</v>
      </c>
      <c r="L30" s="31"/>
    </row>
    <row r="31" spans="1:57" s="19" customFormat="1" x14ac:dyDescent="0.25">
      <c r="A31" s="130" t="s">
        <v>125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>
        <f>C17</f>
        <v>300000</v>
      </c>
      <c r="L31" s="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 s="73"/>
    </row>
    <row r="32" spans="1:57" s="20" customFormat="1" x14ac:dyDescent="0.25">
      <c r="A32" s="33" t="s">
        <v>126</v>
      </c>
      <c r="B32" s="33"/>
      <c r="C32" s="33"/>
      <c r="D32" s="33"/>
      <c r="E32" s="33"/>
      <c r="F32" s="33"/>
      <c r="G32" s="33"/>
      <c r="H32" s="33"/>
      <c r="I32" s="33"/>
      <c r="J32" s="33"/>
      <c r="K32" s="33">
        <f>D17</f>
        <v>345000</v>
      </c>
      <c r="L32" s="31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</row>
    <row r="33" spans="1:56" s="18" customFormat="1" x14ac:dyDescent="0.25">
      <c r="A33" s="131" t="s">
        <v>127</v>
      </c>
      <c r="B33" s="131"/>
      <c r="C33" s="131"/>
      <c r="D33" s="131"/>
      <c r="E33" s="131"/>
      <c r="F33" s="131"/>
      <c r="G33" s="131"/>
      <c r="H33" s="131"/>
      <c r="I33" s="131"/>
      <c r="J33" s="131"/>
      <c r="K33" s="146">
        <f>B17</f>
        <v>255000</v>
      </c>
      <c r="L33" s="31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</row>
    <row r="34" spans="1:56" x14ac:dyDescent="0.25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</row>
    <row r="35" spans="1:56" x14ac:dyDescent="0.25">
      <c r="A35" s="132" t="s">
        <v>130</v>
      </c>
      <c r="B35" s="133">
        <f t="shared" ref="B35:K35" si="2">-B28-B29-B30+B31</f>
        <v>-156093.75</v>
      </c>
      <c r="C35" s="133">
        <f t="shared" si="2"/>
        <v>-15324.42</v>
      </c>
      <c r="D35" s="133">
        <f t="shared" si="2"/>
        <v>-5559.7</v>
      </c>
      <c r="E35" s="133">
        <f t="shared" si="2"/>
        <v>-15161.531999999999</v>
      </c>
      <c r="F35" s="133">
        <f t="shared" si="2"/>
        <v>-3020.75</v>
      </c>
      <c r="G35" s="133">
        <f t="shared" si="2"/>
        <v>0</v>
      </c>
      <c r="H35" s="133">
        <f t="shared" si="2"/>
        <v>0</v>
      </c>
      <c r="I35" s="133">
        <f t="shared" si="2"/>
        <v>0</v>
      </c>
      <c r="J35" s="133">
        <f t="shared" si="2"/>
        <v>0</v>
      </c>
      <c r="K35" s="134">
        <f t="shared" si="2"/>
        <v>272365.96000000002</v>
      </c>
      <c r="L35" s="31"/>
    </row>
    <row r="36" spans="1:56" x14ac:dyDescent="0.25">
      <c r="A36" s="135" t="s">
        <v>131</v>
      </c>
      <c r="B36" s="136">
        <f t="shared" ref="B36:K36" si="3">-B28-B29-B30+B32</f>
        <v>-156093.75</v>
      </c>
      <c r="C36" s="136">
        <f t="shared" si="3"/>
        <v>-15324.42</v>
      </c>
      <c r="D36" s="136">
        <f t="shared" si="3"/>
        <v>-5559.7</v>
      </c>
      <c r="E36" s="136">
        <f t="shared" si="3"/>
        <v>-15161.531999999999</v>
      </c>
      <c r="F36" s="136">
        <f t="shared" si="3"/>
        <v>-3020.75</v>
      </c>
      <c r="G36" s="136">
        <f t="shared" si="3"/>
        <v>0</v>
      </c>
      <c r="H36" s="136">
        <f t="shared" si="3"/>
        <v>0</v>
      </c>
      <c r="I36" s="136">
        <f t="shared" si="3"/>
        <v>0</v>
      </c>
      <c r="J36" s="136">
        <f t="shared" si="3"/>
        <v>0</v>
      </c>
      <c r="K36" s="137">
        <f t="shared" si="3"/>
        <v>317365.96000000002</v>
      </c>
      <c r="L36" s="31"/>
    </row>
    <row r="37" spans="1:56" x14ac:dyDescent="0.25">
      <c r="A37" s="138" t="s">
        <v>132</v>
      </c>
      <c r="B37" s="139">
        <f t="shared" ref="B37:K37" si="4">-B28-B29-B30+B33</f>
        <v>-156093.75</v>
      </c>
      <c r="C37" s="139">
        <f t="shared" si="4"/>
        <v>-15324.42</v>
      </c>
      <c r="D37" s="139">
        <f t="shared" si="4"/>
        <v>-5559.7</v>
      </c>
      <c r="E37" s="139">
        <f t="shared" si="4"/>
        <v>-15161.531999999999</v>
      </c>
      <c r="F37" s="139">
        <f t="shared" si="4"/>
        <v>-3020.75</v>
      </c>
      <c r="G37" s="139">
        <f t="shared" si="4"/>
        <v>0</v>
      </c>
      <c r="H37" s="139">
        <f t="shared" si="4"/>
        <v>0</v>
      </c>
      <c r="I37" s="139">
        <f t="shared" si="4"/>
        <v>0</v>
      </c>
      <c r="J37" s="139">
        <f t="shared" si="4"/>
        <v>0</v>
      </c>
      <c r="K37" s="140">
        <f t="shared" si="4"/>
        <v>227365.96</v>
      </c>
      <c r="L37" s="31"/>
    </row>
    <row r="38" spans="1:56" x14ac:dyDescent="0.25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</row>
    <row r="39" spans="1:56" x14ac:dyDescent="0.25">
      <c r="A39" s="141" t="s">
        <v>135</v>
      </c>
      <c r="B39" s="142">
        <f>IRR(B35:K35)</f>
        <v>3.9578297340006285E-2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</row>
    <row r="40" spans="1:56" x14ac:dyDescent="0.25">
      <c r="A40" s="33" t="s">
        <v>134</v>
      </c>
      <c r="B40" s="142">
        <f>IRR(B36:K36)</f>
        <v>5.8199688612041722E-2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</row>
    <row r="41" spans="1:56" x14ac:dyDescent="0.25">
      <c r="A41" s="131" t="s">
        <v>133</v>
      </c>
      <c r="B41" s="142">
        <f>IRR(B37:K37)</f>
        <v>1.7965720672150631E-2</v>
      </c>
      <c r="C41" s="31"/>
      <c r="D41" s="31"/>
      <c r="E41" s="31"/>
      <c r="F41" s="31"/>
      <c r="G41" s="31"/>
      <c r="H41" s="31"/>
      <c r="I41" s="31"/>
      <c r="J41" s="31"/>
      <c r="K41" s="31"/>
      <c r="L41" s="31"/>
    </row>
    <row r="42" spans="1:56" x14ac:dyDescent="0.25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</row>
    <row r="43" spans="1:56" x14ac:dyDescent="0.25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</row>
    <row r="44" spans="1:56" x14ac:dyDescent="0.25">
      <c r="A44" s="143"/>
      <c r="B44" s="143"/>
      <c r="C44" s="143"/>
      <c r="D44" s="143"/>
      <c r="E44" s="143"/>
      <c r="F44" s="31"/>
      <c r="G44" s="31"/>
      <c r="H44" s="31"/>
      <c r="I44" s="31"/>
      <c r="J44" s="31"/>
      <c r="K44" s="31"/>
      <c r="L44" s="31"/>
    </row>
    <row r="45" spans="1:56" x14ac:dyDescent="0.25">
      <c r="A45" s="144"/>
      <c r="B45" s="31"/>
      <c r="C45" s="31"/>
      <c r="D45" s="31"/>
      <c r="E45" s="31"/>
      <c r="F45" s="31"/>
      <c r="G45" s="31"/>
      <c r="H45" s="31"/>
    </row>
    <row r="46" spans="1:56" x14ac:dyDescent="0.25">
      <c r="A46" s="145"/>
      <c r="B46" s="31"/>
      <c r="C46" s="31"/>
      <c r="D46" s="31"/>
      <c r="E46" s="31"/>
      <c r="F46" s="31"/>
      <c r="G46" s="31"/>
      <c r="H46" s="31"/>
    </row>
    <row r="47" spans="1:56" x14ac:dyDescent="0.25">
      <c r="A47" s="143"/>
      <c r="B47" s="31"/>
      <c r="C47" s="31"/>
      <c r="D47" s="31"/>
      <c r="E47" s="31"/>
      <c r="F47" s="31"/>
      <c r="G47" s="31"/>
      <c r="H47" s="31"/>
    </row>
    <row r="48" spans="1:56" x14ac:dyDescent="0.25">
      <c r="A48" s="143"/>
      <c r="B48" s="31"/>
      <c r="C48" s="31"/>
      <c r="D48" s="31"/>
      <c r="E48" s="31"/>
      <c r="F48" s="31"/>
      <c r="G48" s="31"/>
      <c r="H48" s="31"/>
    </row>
    <row r="49" spans="1:5" x14ac:dyDescent="0.25">
      <c r="A49" s="52"/>
      <c r="B49" s="52"/>
      <c r="C49" s="52"/>
      <c r="D49" s="52"/>
      <c r="E49" s="52"/>
    </row>
    <row r="50" spans="1:5" x14ac:dyDescent="0.25">
      <c r="A50" s="52"/>
      <c r="B50" s="52"/>
      <c r="C50" s="52"/>
      <c r="D50" s="52"/>
      <c r="E50" s="5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1E964-3D8F-4C3D-A6A8-278A8E304ED1}">
  <dimension ref="A1:K48"/>
  <sheetViews>
    <sheetView workbookViewId="0">
      <selection activeCell="D36" sqref="D36"/>
    </sheetView>
  </sheetViews>
  <sheetFormatPr baseColWidth="10" defaultRowHeight="15" x14ac:dyDescent="0.25"/>
  <cols>
    <col min="1" max="1" width="40.28515625" customWidth="1"/>
    <col min="2" max="2" width="30.28515625" customWidth="1"/>
    <col min="3" max="3" width="23.42578125" customWidth="1"/>
    <col min="4" max="4" width="25.85546875" customWidth="1"/>
    <col min="6" max="6" width="15.5703125" customWidth="1"/>
    <col min="7" max="7" width="14" customWidth="1"/>
  </cols>
  <sheetData>
    <row r="1" spans="1:11" ht="15.75" x14ac:dyDescent="0.25">
      <c r="A1" s="29" t="s">
        <v>243</v>
      </c>
      <c r="B1" s="152"/>
      <c r="C1" s="22"/>
      <c r="D1" s="22"/>
      <c r="E1" s="22"/>
      <c r="F1" s="22"/>
      <c r="G1" s="22"/>
      <c r="H1" s="22"/>
      <c r="I1" s="22"/>
      <c r="J1" s="22"/>
      <c r="K1" s="22"/>
    </row>
    <row r="2" spans="1:11" ht="15.75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5.75" x14ac:dyDescent="0.25">
      <c r="A3" s="29" t="s">
        <v>175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5.75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1" ht="15.75" x14ac:dyDescent="0.25">
      <c r="A5" s="23" t="s">
        <v>176</v>
      </c>
      <c r="B5" s="154">
        <v>1.2999999999999999E-2</v>
      </c>
      <c r="C5" s="22"/>
      <c r="D5" s="22"/>
      <c r="E5" s="22"/>
      <c r="F5" s="22"/>
      <c r="G5" s="22"/>
      <c r="H5" s="22"/>
      <c r="I5" s="22"/>
      <c r="J5" s="22"/>
      <c r="K5" s="22"/>
    </row>
    <row r="6" spans="1:11" ht="15.75" x14ac:dyDescent="0.25">
      <c r="A6" s="23" t="s">
        <v>177</v>
      </c>
      <c r="B6" s="154">
        <v>3.9600000000000003E-2</v>
      </c>
      <c r="C6" s="22"/>
      <c r="D6" s="22"/>
      <c r="E6" s="22"/>
      <c r="F6" s="22"/>
      <c r="G6" s="22"/>
      <c r="H6" s="22"/>
      <c r="I6" s="22"/>
      <c r="J6" s="22"/>
      <c r="K6" s="22"/>
    </row>
    <row r="7" spans="1:11" ht="15.75" x14ac:dyDescent="0.25">
      <c r="A7" s="23" t="s">
        <v>179</v>
      </c>
      <c r="B7" s="23" t="s">
        <v>178</v>
      </c>
      <c r="C7" s="22"/>
      <c r="D7" s="22"/>
      <c r="E7" s="22"/>
      <c r="F7" s="22"/>
      <c r="G7" s="22"/>
      <c r="H7" s="22"/>
      <c r="I7" s="22"/>
      <c r="J7" s="22"/>
      <c r="K7" s="22"/>
    </row>
    <row r="8" spans="1:11" ht="15.75" x14ac:dyDescent="0.25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11" ht="15.75" x14ac:dyDescent="0.25">
      <c r="A9" s="29" t="s">
        <v>180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1" ht="15.75" x14ac:dyDescent="0.25">
      <c r="A10" s="23" t="s">
        <v>184</v>
      </c>
      <c r="B10" s="23">
        <v>2016</v>
      </c>
      <c r="C10" s="23">
        <v>2017</v>
      </c>
      <c r="D10" s="23">
        <v>2018</v>
      </c>
      <c r="E10" s="23">
        <v>2019</v>
      </c>
      <c r="F10" s="23">
        <v>2020</v>
      </c>
      <c r="G10" s="23">
        <v>2021</v>
      </c>
      <c r="H10" s="23">
        <v>2022</v>
      </c>
      <c r="I10" s="23">
        <v>2023</v>
      </c>
      <c r="J10" s="23">
        <v>2024</v>
      </c>
      <c r="K10" s="23">
        <v>2025</v>
      </c>
    </row>
    <row r="11" spans="1:11" ht="15.75" x14ac:dyDescent="0.25">
      <c r="A11" s="23" t="s">
        <v>129</v>
      </c>
      <c r="B11" s="23">
        <v>0</v>
      </c>
      <c r="C11" s="23">
        <v>1</v>
      </c>
      <c r="D11" s="23">
        <v>2</v>
      </c>
      <c r="E11" s="23">
        <v>3</v>
      </c>
      <c r="F11" s="23">
        <v>4</v>
      </c>
      <c r="G11" s="23">
        <v>5</v>
      </c>
      <c r="H11" s="23">
        <v>6</v>
      </c>
      <c r="I11" s="23">
        <v>7</v>
      </c>
      <c r="J11" s="23">
        <v>8</v>
      </c>
      <c r="K11" s="23">
        <v>9</v>
      </c>
    </row>
    <row r="12" spans="1:11" ht="15.75" x14ac:dyDescent="0.25">
      <c r="A12" s="23" t="s">
        <v>181</v>
      </c>
      <c r="B12" s="23">
        <v>-156093.75</v>
      </c>
      <c r="C12" s="23">
        <v>-15324.42</v>
      </c>
      <c r="D12" s="23">
        <v>-5559.7</v>
      </c>
      <c r="E12" s="23">
        <v>-15161.5316</v>
      </c>
      <c r="F12" s="23">
        <v>-3020.75</v>
      </c>
      <c r="G12" s="23">
        <v>0</v>
      </c>
      <c r="H12" s="23">
        <v>0</v>
      </c>
      <c r="I12" s="23">
        <v>0</v>
      </c>
      <c r="J12" s="23">
        <v>0</v>
      </c>
      <c r="K12" s="23">
        <f>-27634.04</f>
        <v>-27634.04</v>
      </c>
    </row>
    <row r="13" spans="1:11" ht="15.75" x14ac:dyDescent="0.25">
      <c r="A13" s="23" t="s">
        <v>182</v>
      </c>
      <c r="B13" s="23"/>
      <c r="C13" s="23"/>
      <c r="D13" s="23"/>
      <c r="E13" s="23"/>
      <c r="F13" s="23"/>
      <c r="G13" s="23"/>
      <c r="H13" s="23"/>
      <c r="I13" s="23"/>
      <c r="J13" s="23"/>
      <c r="K13" s="23">
        <v>300000</v>
      </c>
    </row>
    <row r="14" spans="1:11" ht="15.75" x14ac:dyDescent="0.25">
      <c r="A14" s="23" t="s">
        <v>197</v>
      </c>
      <c r="B14" s="23"/>
      <c r="C14" s="23"/>
      <c r="D14" s="23"/>
      <c r="E14" s="23"/>
      <c r="F14" s="23"/>
      <c r="G14" s="23"/>
      <c r="H14" s="23"/>
      <c r="I14" s="23"/>
      <c r="J14" s="23"/>
      <c r="K14" s="23">
        <f>K13*0.85</f>
        <v>255000</v>
      </c>
    </row>
    <row r="15" spans="1:11" ht="15.75" x14ac:dyDescent="0.25">
      <c r="A15" s="109" t="s">
        <v>198</v>
      </c>
      <c r="B15" s="23"/>
      <c r="C15" s="23"/>
      <c r="D15" s="23"/>
      <c r="E15" s="23"/>
      <c r="F15" s="23"/>
      <c r="G15" s="23"/>
      <c r="H15" s="23"/>
      <c r="I15" s="23"/>
      <c r="J15" s="23"/>
      <c r="K15" s="23">
        <f>K13*1.15</f>
        <v>345000</v>
      </c>
    </row>
    <row r="16" spans="1:11" ht="15.75" x14ac:dyDescent="0.25">
      <c r="A16" s="23" t="s">
        <v>183</v>
      </c>
      <c r="B16" s="23">
        <f>SUM(B12:B13)</f>
        <v>-156093.75</v>
      </c>
      <c r="C16" s="23">
        <f t="shared" ref="C16:K16" si="0">SUM(C12:C13)</f>
        <v>-15324.42</v>
      </c>
      <c r="D16" s="23">
        <f t="shared" si="0"/>
        <v>-5559.7</v>
      </c>
      <c r="E16" s="23">
        <f t="shared" si="0"/>
        <v>-15161.5316</v>
      </c>
      <c r="F16" s="23">
        <f t="shared" si="0"/>
        <v>-3020.75</v>
      </c>
      <c r="G16" s="23">
        <f t="shared" si="0"/>
        <v>0</v>
      </c>
      <c r="H16" s="23">
        <f t="shared" si="0"/>
        <v>0</v>
      </c>
      <c r="I16" s="23">
        <f t="shared" si="0"/>
        <v>0</v>
      </c>
      <c r="J16" s="23">
        <f t="shared" si="0"/>
        <v>0</v>
      </c>
      <c r="K16" s="23">
        <f t="shared" si="0"/>
        <v>272365.96000000002</v>
      </c>
    </row>
    <row r="17" spans="1:11" ht="15.75" x14ac:dyDescent="0.25">
      <c r="A17" s="126" t="s">
        <v>199</v>
      </c>
      <c r="B17" s="23">
        <f>B12+B15</f>
        <v>-156093.75</v>
      </c>
      <c r="C17" s="23">
        <f t="shared" ref="C17:J17" si="1">C12+C15</f>
        <v>-15324.42</v>
      </c>
      <c r="D17" s="23">
        <f t="shared" si="1"/>
        <v>-5559.7</v>
      </c>
      <c r="E17" s="23">
        <f t="shared" si="1"/>
        <v>-15161.5316</v>
      </c>
      <c r="F17" s="23">
        <f t="shared" si="1"/>
        <v>-3020.75</v>
      </c>
      <c r="G17" s="23">
        <f t="shared" si="1"/>
        <v>0</v>
      </c>
      <c r="H17" s="23">
        <f t="shared" si="1"/>
        <v>0</v>
      </c>
      <c r="I17" s="23">
        <f t="shared" si="1"/>
        <v>0</v>
      </c>
      <c r="J17" s="23">
        <f t="shared" si="1"/>
        <v>0</v>
      </c>
      <c r="K17" s="126">
        <f>K12+K14</f>
        <v>227365.96</v>
      </c>
    </row>
    <row r="18" spans="1:11" ht="15.75" x14ac:dyDescent="0.25">
      <c r="A18" s="109" t="s">
        <v>200</v>
      </c>
      <c r="B18" s="23">
        <f>B12+B15</f>
        <v>-156093.75</v>
      </c>
      <c r="C18" s="23">
        <f t="shared" ref="C18:K18" si="2">C12+C15</f>
        <v>-15324.42</v>
      </c>
      <c r="D18" s="23">
        <f t="shared" si="2"/>
        <v>-5559.7</v>
      </c>
      <c r="E18" s="23">
        <f t="shared" si="2"/>
        <v>-15161.5316</v>
      </c>
      <c r="F18" s="23">
        <f t="shared" si="2"/>
        <v>-3020.75</v>
      </c>
      <c r="G18" s="23">
        <f t="shared" si="2"/>
        <v>0</v>
      </c>
      <c r="H18" s="23">
        <f t="shared" si="2"/>
        <v>0</v>
      </c>
      <c r="I18" s="23">
        <f t="shared" si="2"/>
        <v>0</v>
      </c>
      <c r="J18" s="23">
        <f t="shared" si="2"/>
        <v>0</v>
      </c>
      <c r="K18" s="109">
        <f t="shared" si="2"/>
        <v>317365.96000000002</v>
      </c>
    </row>
    <row r="19" spans="1:11" ht="15.75" x14ac:dyDescent="0.25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spans="1:11" ht="15.75" x14ac:dyDescent="0.25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</row>
    <row r="21" spans="1:11" ht="15.75" x14ac:dyDescent="0.25">
      <c r="A21" s="29" t="s">
        <v>244</v>
      </c>
      <c r="B21" s="152"/>
      <c r="C21" s="22"/>
      <c r="D21" s="22"/>
      <c r="E21" s="22"/>
      <c r="F21" s="22"/>
      <c r="G21" s="22"/>
      <c r="H21" s="22"/>
      <c r="I21" s="22"/>
      <c r="J21" s="22"/>
      <c r="K21" s="22"/>
    </row>
    <row r="22" spans="1:11" ht="15.75" x14ac:dyDescent="0.25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ht="15.75" x14ac:dyDescent="0.25">
      <c r="A23" s="81" t="s">
        <v>206</v>
      </c>
      <c r="B23" s="159" t="s">
        <v>185</v>
      </c>
      <c r="C23" s="159" t="s">
        <v>186</v>
      </c>
      <c r="D23" s="159" t="s">
        <v>187</v>
      </c>
      <c r="E23" s="159" t="s">
        <v>188</v>
      </c>
      <c r="F23" s="160" t="s">
        <v>201</v>
      </c>
      <c r="G23" s="161" t="s">
        <v>202</v>
      </c>
      <c r="H23" s="22"/>
      <c r="I23" s="22"/>
      <c r="J23" s="22"/>
      <c r="K23" s="22"/>
    </row>
    <row r="24" spans="1:11" ht="15.75" x14ac:dyDescent="0.25">
      <c r="A24" s="32" t="s">
        <v>189</v>
      </c>
      <c r="B24" s="156">
        <v>1.2999999999999999E-2</v>
      </c>
      <c r="C24" s="157">
        <v>0</v>
      </c>
      <c r="D24" s="156">
        <f>SUM(B24:C24)</f>
        <v>1.2999999999999999E-2</v>
      </c>
      <c r="E24" s="158">
        <f t="shared" ref="E24:E27" si="3">NPV(D24,$C$16:$K$16)+$B$16</f>
        <v>48382.123242777976</v>
      </c>
      <c r="F24" s="158">
        <f>NPV(D24,C$17:K$17)+$B$17</f>
        <v>8320.5956403754826</v>
      </c>
      <c r="G24" s="158">
        <f>NPV(D24,C$18:K$18)+$B$18</f>
        <v>88443.65084518044</v>
      </c>
      <c r="H24" s="22"/>
      <c r="I24" s="22"/>
      <c r="J24" s="22"/>
      <c r="K24" s="22"/>
    </row>
    <row r="25" spans="1:11" ht="15.75" x14ac:dyDescent="0.25">
      <c r="A25" s="81" t="s">
        <v>204</v>
      </c>
      <c r="B25" s="156"/>
      <c r="C25" s="157"/>
      <c r="D25" s="156">
        <f>'4.Scénario valeur immobilière'!B41</f>
        <v>1.7965720672150631E-2</v>
      </c>
      <c r="E25" s="158">
        <f t="shared" si="3"/>
        <v>38336.647807458299</v>
      </c>
      <c r="F25" s="104">
        <f>NPV(D25,C$17:K$17)+$B$17</f>
        <v>3.7919299211353064E-4</v>
      </c>
      <c r="G25" s="158">
        <f>NPV(D25,C$18:K$18)+$B$18</f>
        <v>76673.295235723577</v>
      </c>
      <c r="H25" s="22"/>
      <c r="I25" s="22"/>
      <c r="J25" s="22"/>
      <c r="K25" s="22"/>
    </row>
    <row r="26" spans="1:11" ht="15.75" x14ac:dyDescent="0.25">
      <c r="A26" s="32" t="s">
        <v>190</v>
      </c>
      <c r="B26" s="156">
        <v>1.2999999999999999E-2</v>
      </c>
      <c r="C26" s="157">
        <v>0.01</v>
      </c>
      <c r="D26" s="156">
        <f t="shared" ref="D26:D27" si="4">SUM(B26:C26)</f>
        <v>2.3E-2</v>
      </c>
      <c r="E26" s="158">
        <f t="shared" si="3"/>
        <v>28652.689475176856</v>
      </c>
      <c r="F26" s="158">
        <f>NPV(D26,C$17:K$17)+$B$17</f>
        <v>-8019.0753096327244</v>
      </c>
      <c r="G26" s="158">
        <f t="shared" ref="G26:G33" si="5">NPV(D26,C$18:K$18)+$B$18</f>
        <v>65324.454259986524</v>
      </c>
      <c r="H26" s="22"/>
      <c r="I26" s="22"/>
      <c r="J26" s="22"/>
      <c r="K26" s="22"/>
    </row>
    <row r="27" spans="1:11" ht="15.75" x14ac:dyDescent="0.25">
      <c r="A27" s="32" t="s">
        <v>191</v>
      </c>
      <c r="B27" s="156">
        <v>1.2999999999999999E-2</v>
      </c>
      <c r="C27" s="157">
        <v>0.02</v>
      </c>
      <c r="D27" s="156">
        <f t="shared" si="4"/>
        <v>3.3000000000000002E-2</v>
      </c>
      <c r="E27" s="158">
        <f t="shared" si="3"/>
        <v>10806.651688260201</v>
      </c>
      <c r="F27" s="158">
        <f>NPV(D27,C$17:K$17)+$B$17</f>
        <v>-22791.053898620245</v>
      </c>
      <c r="G27" s="158">
        <f t="shared" si="5"/>
        <v>44404.357275140646</v>
      </c>
      <c r="H27" s="22"/>
      <c r="I27" s="22"/>
      <c r="J27" s="22"/>
      <c r="K27" s="22"/>
    </row>
    <row r="28" spans="1:11" ht="15.75" x14ac:dyDescent="0.25">
      <c r="A28" s="81" t="s">
        <v>12</v>
      </c>
      <c r="B28" s="156"/>
      <c r="C28" s="157"/>
      <c r="D28" s="156">
        <v>3.9578297563958476E-2</v>
      </c>
      <c r="E28" s="104">
        <f>NPV(D28,$C$16:$K$16)+$B$16</f>
        <v>3.4924596548080444E-10</v>
      </c>
      <c r="F28" s="158">
        <f t="shared" ref="F28:F33" si="6">NPV(D28,C$17:K$17)+$B$17</f>
        <v>-31732.016628517493</v>
      </c>
      <c r="G28" s="158">
        <f t="shared" si="5"/>
        <v>31732.016628518148</v>
      </c>
      <c r="H28" s="22"/>
      <c r="I28" s="22"/>
      <c r="J28" s="22"/>
      <c r="K28" s="22"/>
    </row>
    <row r="29" spans="1:11" ht="15.75" x14ac:dyDescent="0.25">
      <c r="A29" s="32" t="s">
        <v>191</v>
      </c>
      <c r="B29" s="156">
        <v>1.2999999999999999E-2</v>
      </c>
      <c r="C29" s="157">
        <v>0.03</v>
      </c>
      <c r="D29" s="156">
        <f>SUM(B29:C29)</f>
        <v>4.2999999999999997E-2</v>
      </c>
      <c r="E29" s="158">
        <f t="shared" ref="E29:E33" si="7">NPV(D29,$C$16:$K$16)+$B$16</f>
        <v>-5348.6634774538688</v>
      </c>
      <c r="F29" s="158">
        <f t="shared" si="6"/>
        <v>-36155.970585290328</v>
      </c>
      <c r="G29" s="158">
        <f t="shared" si="5"/>
        <v>25458.643630382605</v>
      </c>
      <c r="H29" s="22"/>
      <c r="I29" s="22"/>
      <c r="J29" s="22"/>
      <c r="K29" s="22"/>
    </row>
    <row r="30" spans="1:11" ht="15.75" x14ac:dyDescent="0.25">
      <c r="A30" s="32" t="s">
        <v>245</v>
      </c>
      <c r="B30" s="156">
        <v>1.2999999999999999E-2</v>
      </c>
      <c r="C30" s="157">
        <v>0.04</v>
      </c>
      <c r="D30" s="156">
        <f>SUM(B30:C30)</f>
        <v>5.2999999999999999E-2</v>
      </c>
      <c r="E30" s="158">
        <f t="shared" si="7"/>
        <v>-19984.724630963261</v>
      </c>
      <c r="F30" s="158">
        <f t="shared" si="6"/>
        <v>-48256.766355558997</v>
      </c>
      <c r="G30" s="158">
        <f t="shared" si="5"/>
        <v>8287.3170936324459</v>
      </c>
      <c r="H30" s="22"/>
      <c r="I30" s="22"/>
      <c r="J30" s="22"/>
      <c r="K30" s="22"/>
    </row>
    <row r="31" spans="1:11" ht="15.75" x14ac:dyDescent="0.25">
      <c r="A31" s="81" t="s">
        <v>205</v>
      </c>
      <c r="B31" s="156"/>
      <c r="C31" s="157"/>
      <c r="D31" s="156">
        <f>'4.Scénario valeur immobilière'!B40</f>
        <v>5.8199688612041722E-2</v>
      </c>
      <c r="E31" s="158">
        <f t="shared" si="7"/>
        <v>-27046.0498243123</v>
      </c>
      <c r="F31" s="158">
        <f t="shared" si="6"/>
        <v>-54092.099986188987</v>
      </c>
      <c r="G31" s="104">
        <f t="shared" si="5"/>
        <v>3.375643864274025E-4</v>
      </c>
      <c r="H31" s="22"/>
      <c r="I31" s="22"/>
      <c r="J31" s="22"/>
      <c r="K31" s="22"/>
    </row>
    <row r="32" spans="1:11" ht="15.75" x14ac:dyDescent="0.25">
      <c r="A32" s="32" t="s">
        <v>245</v>
      </c>
      <c r="B32" s="156">
        <v>1.2999999999999999E-2</v>
      </c>
      <c r="C32" s="157">
        <v>0.05</v>
      </c>
      <c r="D32" s="156">
        <f t="shared" ref="D32:D33" si="8">SUM(B32:C32)</f>
        <v>6.3E-2</v>
      </c>
      <c r="E32" s="158">
        <f t="shared" si="7"/>
        <v>-33254.29649433645</v>
      </c>
      <c r="F32" s="158">
        <f t="shared" si="6"/>
        <v>-59220.779611683582</v>
      </c>
      <c r="G32" s="158">
        <f t="shared" si="5"/>
        <v>-7287.813376989332</v>
      </c>
      <c r="H32" s="22"/>
      <c r="I32" s="22"/>
      <c r="J32" s="22"/>
      <c r="K32" s="22"/>
    </row>
    <row r="33" spans="1:11" ht="15.75" x14ac:dyDescent="0.25">
      <c r="A33" s="32" t="s">
        <v>245</v>
      </c>
      <c r="B33" s="156">
        <v>1.2999999999999999E-2</v>
      </c>
      <c r="C33" s="157">
        <v>0.06</v>
      </c>
      <c r="D33" s="156">
        <f t="shared" si="8"/>
        <v>7.2999999999999995E-2</v>
      </c>
      <c r="E33" s="158">
        <f t="shared" si="7"/>
        <v>-45293.626224470776</v>
      </c>
      <c r="F33" s="158">
        <f t="shared" si="6"/>
        <v>-69161.570547017982</v>
      </c>
      <c r="G33" s="158">
        <f t="shared" si="5"/>
        <v>-21425.681901923555</v>
      </c>
      <c r="H33" s="22"/>
      <c r="I33" s="22"/>
      <c r="J33" s="22"/>
      <c r="K33" s="22"/>
    </row>
    <row r="34" spans="1:11" ht="15.75" x14ac:dyDescent="0.25">
      <c r="A34" s="22"/>
      <c r="B34" s="153"/>
      <c r="C34" s="22"/>
      <c r="D34" s="22"/>
      <c r="E34" s="22"/>
      <c r="F34" s="22"/>
      <c r="G34" s="22"/>
      <c r="H34" s="22"/>
      <c r="I34" s="22"/>
      <c r="J34" s="22"/>
      <c r="K34" s="22"/>
    </row>
    <row r="35" spans="1:11" x14ac:dyDescent="0.25">
      <c r="B35" s="10"/>
    </row>
    <row r="39" spans="1:11" x14ac:dyDescent="0.25">
      <c r="D39" s="123"/>
    </row>
    <row r="40" spans="1:11" x14ac:dyDescent="0.25">
      <c r="D40" s="10"/>
    </row>
    <row r="41" spans="1:11" x14ac:dyDescent="0.25">
      <c r="D41" s="10"/>
    </row>
    <row r="42" spans="1:11" x14ac:dyDescent="0.25">
      <c r="D42" s="10"/>
    </row>
    <row r="43" spans="1:11" x14ac:dyDescent="0.25">
      <c r="D43" s="10"/>
    </row>
    <row r="44" spans="1:11" x14ac:dyDescent="0.25">
      <c r="D44" s="10"/>
    </row>
    <row r="45" spans="1:11" x14ac:dyDescent="0.25">
      <c r="D45" s="10"/>
    </row>
    <row r="46" spans="1:11" x14ac:dyDescent="0.25">
      <c r="D46" s="10"/>
    </row>
    <row r="47" spans="1:11" x14ac:dyDescent="0.25">
      <c r="D47" s="10"/>
    </row>
    <row r="48" spans="1:11" x14ac:dyDescent="0.25">
      <c r="D48" s="1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7EC22-6E37-4AD9-9534-814A1AFC8274}">
  <dimension ref="A1:D141"/>
  <sheetViews>
    <sheetView tabSelected="1" zoomScale="85" zoomScaleNormal="85" workbookViewId="0">
      <selection activeCell="E140" sqref="E140"/>
    </sheetView>
  </sheetViews>
  <sheetFormatPr baseColWidth="10" defaultColWidth="10.85546875" defaultRowHeight="15" x14ac:dyDescent="0.25"/>
  <cols>
    <col min="1" max="1" width="42.140625" style="4" customWidth="1"/>
    <col min="2" max="2" width="54.5703125" style="4" customWidth="1"/>
    <col min="3" max="3" width="22.140625" style="4" customWidth="1"/>
    <col min="4" max="16384" width="10.85546875" style="4"/>
  </cols>
  <sheetData>
    <row r="1" spans="1:4" ht="15.75" x14ac:dyDescent="0.25">
      <c r="A1" s="148" t="s">
        <v>192</v>
      </c>
      <c r="B1" s="150"/>
    </row>
    <row r="2" spans="1:4" x14ac:dyDescent="0.25">
      <c r="A2" s="4" t="s">
        <v>247</v>
      </c>
    </row>
    <row r="3" spans="1:4" ht="15.75" x14ac:dyDescent="0.25">
      <c r="A3" s="151" t="s">
        <v>193</v>
      </c>
      <c r="B3" s="151" t="s">
        <v>195</v>
      </c>
      <c r="C3" s="151" t="s">
        <v>194</v>
      </c>
    </row>
    <row r="4" spans="1:4" x14ac:dyDescent="0.25">
      <c r="A4" s="5">
        <v>42370</v>
      </c>
      <c r="B4" s="4">
        <v>0.86</v>
      </c>
      <c r="D4" s="4" t="s">
        <v>63</v>
      </c>
    </row>
    <row r="5" spans="1:4" x14ac:dyDescent="0.25">
      <c r="A5" s="4" t="s">
        <v>62</v>
      </c>
      <c r="B5" s="4">
        <v>0.72</v>
      </c>
      <c r="D5" s="4" t="s">
        <v>63</v>
      </c>
    </row>
    <row r="6" spans="1:4" x14ac:dyDescent="0.25">
      <c r="A6" s="5">
        <v>42430</v>
      </c>
      <c r="B6" s="4">
        <v>0.62</v>
      </c>
      <c r="D6" s="4" t="s">
        <v>63</v>
      </c>
    </row>
    <row r="7" spans="1:4" x14ac:dyDescent="0.25">
      <c r="A7" s="4" t="s">
        <v>61</v>
      </c>
      <c r="B7" s="4">
        <v>0.55000000000000004</v>
      </c>
      <c r="D7" s="4" t="s">
        <v>63</v>
      </c>
    </row>
    <row r="8" spans="1:4" x14ac:dyDescent="0.25">
      <c r="A8" s="4" t="s">
        <v>60</v>
      </c>
      <c r="B8" s="4">
        <v>0.55000000000000004</v>
      </c>
      <c r="D8" s="4" t="s">
        <v>63</v>
      </c>
    </row>
    <row r="9" spans="1:4" x14ac:dyDescent="0.25">
      <c r="A9" s="5">
        <v>42522</v>
      </c>
      <c r="B9" s="4">
        <v>0.43</v>
      </c>
      <c r="D9" s="4" t="s">
        <v>63</v>
      </c>
    </row>
    <row r="10" spans="1:4" x14ac:dyDescent="0.25">
      <c r="A10" s="5">
        <v>42552</v>
      </c>
      <c r="B10" s="4">
        <v>0.2</v>
      </c>
      <c r="D10" s="4" t="s">
        <v>63</v>
      </c>
    </row>
    <row r="11" spans="1:4" x14ac:dyDescent="0.25">
      <c r="A11" s="4" t="s">
        <v>59</v>
      </c>
      <c r="B11" s="4">
        <v>0.15</v>
      </c>
      <c r="D11" s="4" t="s">
        <v>63</v>
      </c>
    </row>
    <row r="12" spans="1:4" x14ac:dyDescent="0.25">
      <c r="A12" s="5">
        <v>42614</v>
      </c>
      <c r="B12" s="4">
        <v>0.18</v>
      </c>
      <c r="D12" s="4" t="s">
        <v>63</v>
      </c>
    </row>
    <row r="13" spans="1:4" x14ac:dyDescent="0.25">
      <c r="A13" s="5">
        <v>42644</v>
      </c>
      <c r="B13" s="4">
        <v>0.27</v>
      </c>
      <c r="D13" s="4" t="s">
        <v>63</v>
      </c>
    </row>
    <row r="14" spans="1:4" x14ac:dyDescent="0.25">
      <c r="A14" s="5">
        <v>42675</v>
      </c>
      <c r="B14" s="4">
        <v>0.56999999999999995</v>
      </c>
      <c r="D14" s="4" t="s">
        <v>63</v>
      </c>
    </row>
    <row r="15" spans="1:4" x14ac:dyDescent="0.25">
      <c r="A15" s="4" t="s">
        <v>58</v>
      </c>
      <c r="B15" s="4">
        <v>0.61</v>
      </c>
      <c r="C15" s="149">
        <f>AVERAGE(B4:B15)</f>
        <v>0.47583333333333333</v>
      </c>
      <c r="D15" s="4" t="s">
        <v>63</v>
      </c>
    </row>
    <row r="16" spans="1:4" x14ac:dyDescent="0.25">
      <c r="A16" s="5">
        <v>42736</v>
      </c>
      <c r="B16" s="4">
        <v>0.7</v>
      </c>
      <c r="D16" s="4" t="s">
        <v>63</v>
      </c>
    </row>
    <row r="17" spans="1:4" x14ac:dyDescent="0.25">
      <c r="A17" s="4" t="s">
        <v>57</v>
      </c>
      <c r="B17" s="4">
        <v>0.87</v>
      </c>
      <c r="D17" s="4" t="s">
        <v>63</v>
      </c>
    </row>
    <row r="18" spans="1:4" x14ac:dyDescent="0.25">
      <c r="A18" s="5">
        <v>42795</v>
      </c>
      <c r="B18" s="4">
        <v>0.87</v>
      </c>
      <c r="D18" s="4" t="s">
        <v>63</v>
      </c>
    </row>
    <row r="19" spans="1:4" x14ac:dyDescent="0.25">
      <c r="A19" s="4" t="s">
        <v>56</v>
      </c>
      <c r="B19" s="4">
        <v>0.78</v>
      </c>
      <c r="D19" s="4" t="s">
        <v>63</v>
      </c>
    </row>
    <row r="20" spans="1:4" x14ac:dyDescent="0.25">
      <c r="A20" s="4" t="s">
        <v>55</v>
      </c>
      <c r="B20" s="4">
        <v>0.77</v>
      </c>
      <c r="D20" s="4" t="s">
        <v>63</v>
      </c>
    </row>
    <row r="21" spans="1:4" x14ac:dyDescent="0.25">
      <c r="A21" s="5">
        <v>42887</v>
      </c>
      <c r="B21" s="4">
        <v>0.62</v>
      </c>
      <c r="D21" s="4" t="s">
        <v>63</v>
      </c>
    </row>
    <row r="22" spans="1:4" x14ac:dyDescent="0.25">
      <c r="A22" s="5">
        <v>42917</v>
      </c>
      <c r="B22" s="4">
        <v>0.83</v>
      </c>
      <c r="D22" s="4" t="s">
        <v>63</v>
      </c>
    </row>
    <row r="23" spans="1:4" x14ac:dyDescent="0.25">
      <c r="A23" s="4" t="s">
        <v>54</v>
      </c>
      <c r="B23" s="4">
        <v>0.73</v>
      </c>
      <c r="D23" s="4" t="s">
        <v>63</v>
      </c>
    </row>
    <row r="24" spans="1:4" x14ac:dyDescent="0.25">
      <c r="A24" s="5">
        <v>42979</v>
      </c>
      <c r="B24" s="4">
        <v>0.7</v>
      </c>
      <c r="D24" s="4" t="s">
        <v>63</v>
      </c>
    </row>
    <row r="25" spans="1:4" x14ac:dyDescent="0.25">
      <c r="A25" s="5">
        <v>43009</v>
      </c>
      <c r="B25" s="4">
        <v>0.69</v>
      </c>
      <c r="D25" s="4" t="s">
        <v>63</v>
      </c>
    </row>
    <row r="26" spans="1:4" x14ac:dyDescent="0.25">
      <c r="A26" s="5">
        <v>43040</v>
      </c>
      <c r="B26" s="4">
        <v>0.57999999999999996</v>
      </c>
      <c r="D26" s="4" t="s">
        <v>63</v>
      </c>
    </row>
    <row r="27" spans="1:4" x14ac:dyDescent="0.25">
      <c r="A27" s="4" t="s">
        <v>53</v>
      </c>
      <c r="B27" s="4">
        <v>0.53</v>
      </c>
      <c r="C27" s="4">
        <f>AVERAGE(B16:B27)</f>
        <v>0.72250000000000003</v>
      </c>
      <c r="D27" s="4" t="s">
        <v>63</v>
      </c>
    </row>
    <row r="28" spans="1:4" x14ac:dyDescent="0.25">
      <c r="A28" s="5">
        <v>43101</v>
      </c>
      <c r="B28" s="4">
        <v>0.7</v>
      </c>
      <c r="D28" s="4" t="s">
        <v>63</v>
      </c>
    </row>
    <row r="29" spans="1:4" x14ac:dyDescent="0.25">
      <c r="A29" s="4" t="s">
        <v>52</v>
      </c>
      <c r="B29" s="4">
        <v>0.97</v>
      </c>
      <c r="D29" s="4" t="s">
        <v>63</v>
      </c>
    </row>
    <row r="30" spans="1:4" x14ac:dyDescent="0.25">
      <c r="A30" s="5">
        <v>43160</v>
      </c>
      <c r="B30" s="4">
        <v>0.87</v>
      </c>
      <c r="D30" s="4" t="s">
        <v>63</v>
      </c>
    </row>
    <row r="31" spans="1:4" x14ac:dyDescent="0.25">
      <c r="A31" s="4" t="s">
        <v>51</v>
      </c>
      <c r="B31" s="4">
        <v>0.81</v>
      </c>
      <c r="D31" s="4" t="s">
        <v>63</v>
      </c>
    </row>
    <row r="32" spans="1:4" x14ac:dyDescent="0.25">
      <c r="A32" s="4" t="s">
        <v>50</v>
      </c>
      <c r="B32" s="4">
        <v>0.83</v>
      </c>
      <c r="D32" s="4" t="s">
        <v>63</v>
      </c>
    </row>
    <row r="33" spans="1:4" x14ac:dyDescent="0.25">
      <c r="A33" s="5">
        <v>43252</v>
      </c>
      <c r="B33" s="4">
        <v>0.79</v>
      </c>
      <c r="D33" s="4" t="s">
        <v>63</v>
      </c>
    </row>
    <row r="34" spans="1:4" x14ac:dyDescent="0.25">
      <c r="A34" s="5">
        <v>43282</v>
      </c>
      <c r="B34" s="4">
        <v>0.68</v>
      </c>
      <c r="D34" s="4" t="s">
        <v>63</v>
      </c>
    </row>
    <row r="35" spans="1:4" x14ac:dyDescent="0.25">
      <c r="A35" s="4" t="s">
        <v>49</v>
      </c>
      <c r="B35" s="4">
        <v>0.71</v>
      </c>
      <c r="D35" s="4" t="s">
        <v>63</v>
      </c>
    </row>
    <row r="36" spans="1:4" x14ac:dyDescent="0.25">
      <c r="A36" s="5">
        <v>43344</v>
      </c>
      <c r="B36" s="4">
        <v>0.77</v>
      </c>
      <c r="D36" s="4" t="s">
        <v>63</v>
      </c>
    </row>
    <row r="37" spans="1:4" x14ac:dyDescent="0.25">
      <c r="A37" s="5">
        <v>43374</v>
      </c>
      <c r="B37" s="4">
        <v>0.85</v>
      </c>
      <c r="D37" s="4" t="s">
        <v>63</v>
      </c>
    </row>
    <row r="38" spans="1:4" x14ac:dyDescent="0.25">
      <c r="A38" s="5">
        <v>43405</v>
      </c>
      <c r="B38" s="4">
        <v>0.81</v>
      </c>
      <c r="D38" s="4" t="s">
        <v>63</v>
      </c>
    </row>
    <row r="39" spans="1:4" x14ac:dyDescent="0.25">
      <c r="A39" s="4" t="s">
        <v>48</v>
      </c>
      <c r="B39" s="4">
        <v>0.75</v>
      </c>
      <c r="C39" s="4">
        <f>AVERAGE(B28:B39)</f>
        <v>0.79499999999999993</v>
      </c>
      <c r="D39" s="4" t="s">
        <v>63</v>
      </c>
    </row>
    <row r="40" spans="1:4" x14ac:dyDescent="0.25">
      <c r="A40" s="5">
        <v>43466</v>
      </c>
      <c r="B40" s="4">
        <v>0.77</v>
      </c>
      <c r="D40" s="4" t="s">
        <v>63</v>
      </c>
    </row>
    <row r="41" spans="1:4" x14ac:dyDescent="0.25">
      <c r="A41" s="4" t="s">
        <v>47</v>
      </c>
      <c r="B41" s="4">
        <v>0.69</v>
      </c>
      <c r="D41" s="4" t="s">
        <v>63</v>
      </c>
    </row>
    <row r="42" spans="1:4" x14ac:dyDescent="0.25">
      <c r="A42" s="5">
        <v>43525</v>
      </c>
      <c r="B42" s="4">
        <v>0.54</v>
      </c>
      <c r="D42" s="4" t="s">
        <v>63</v>
      </c>
    </row>
    <row r="43" spans="1:4" x14ac:dyDescent="0.25">
      <c r="A43" s="4" t="s">
        <v>46</v>
      </c>
      <c r="B43" s="4">
        <v>0.47</v>
      </c>
      <c r="D43" s="4" t="s">
        <v>63</v>
      </c>
    </row>
    <row r="44" spans="1:4" x14ac:dyDescent="0.25">
      <c r="A44" s="4" t="s">
        <v>45</v>
      </c>
      <c r="B44" s="4">
        <v>0.41</v>
      </c>
      <c r="D44" s="4" t="s">
        <v>63</v>
      </c>
    </row>
    <row r="45" spans="1:4" x14ac:dyDescent="0.25">
      <c r="A45" s="5">
        <v>43617</v>
      </c>
      <c r="B45" s="4">
        <v>0.15</v>
      </c>
      <c r="D45" s="4" t="s">
        <v>63</v>
      </c>
    </row>
    <row r="46" spans="1:4" x14ac:dyDescent="0.25">
      <c r="A46" s="5">
        <v>43647</v>
      </c>
      <c r="B46" s="4">
        <v>0</v>
      </c>
      <c r="D46" s="4" t="s">
        <v>63</v>
      </c>
    </row>
    <row r="47" spans="1:4" x14ac:dyDescent="0.25">
      <c r="A47" s="4" t="s">
        <v>44</v>
      </c>
      <c r="B47" s="4">
        <v>-0.28000000000000003</v>
      </c>
      <c r="D47" s="4" t="s">
        <v>63</v>
      </c>
    </row>
    <row r="48" spans="1:4" x14ac:dyDescent="0.25">
      <c r="A48" s="5">
        <v>43709</v>
      </c>
      <c r="B48" s="4">
        <v>-0.24</v>
      </c>
      <c r="D48" s="4" t="s">
        <v>63</v>
      </c>
    </row>
    <row r="49" spans="1:4" x14ac:dyDescent="0.25">
      <c r="A49" s="5">
        <v>43739</v>
      </c>
      <c r="B49" s="4">
        <v>-0.16</v>
      </c>
      <c r="D49" s="4" t="s">
        <v>63</v>
      </c>
    </row>
    <row r="50" spans="1:4" x14ac:dyDescent="0.25">
      <c r="A50" s="5">
        <v>43770</v>
      </c>
      <c r="B50" s="4">
        <v>-0.04</v>
      </c>
      <c r="D50" s="4" t="s">
        <v>63</v>
      </c>
    </row>
    <row r="51" spans="1:4" x14ac:dyDescent="0.25">
      <c r="A51" s="4" t="s">
        <v>43</v>
      </c>
      <c r="B51" s="4">
        <v>0.01</v>
      </c>
      <c r="C51" s="4">
        <f>AVERAGE(B40:B51)</f>
        <v>0.19333333333333327</v>
      </c>
      <c r="D51" s="4" t="s">
        <v>63</v>
      </c>
    </row>
    <row r="52" spans="1:4" x14ac:dyDescent="0.25">
      <c r="A52" s="5">
        <v>43831</v>
      </c>
      <c r="B52" s="4">
        <v>-0.03</v>
      </c>
      <c r="D52" s="4" t="s">
        <v>63</v>
      </c>
    </row>
    <row r="53" spans="1:4" x14ac:dyDescent="0.25">
      <c r="A53" s="4" t="s">
        <v>42</v>
      </c>
      <c r="B53" s="4">
        <v>-0.13</v>
      </c>
      <c r="D53" s="4" t="s">
        <v>63</v>
      </c>
    </row>
    <row r="54" spans="1:4" x14ac:dyDescent="0.25">
      <c r="A54" s="5">
        <v>43891</v>
      </c>
      <c r="B54" s="4">
        <v>-0.02</v>
      </c>
      <c r="D54" s="4" t="s">
        <v>63</v>
      </c>
    </row>
    <row r="55" spans="1:4" x14ac:dyDescent="0.25">
      <c r="A55" s="4" t="s">
        <v>41</v>
      </c>
      <c r="B55" s="4">
        <v>0.14000000000000001</v>
      </c>
      <c r="D55" s="4" t="s">
        <v>63</v>
      </c>
    </row>
    <row r="56" spans="1:4" x14ac:dyDescent="0.25">
      <c r="A56" s="4" t="s">
        <v>40</v>
      </c>
      <c r="B56" s="4">
        <v>0.04</v>
      </c>
      <c r="D56" s="4" t="s">
        <v>63</v>
      </c>
    </row>
    <row r="57" spans="1:4" x14ac:dyDescent="0.25">
      <c r="A57" s="5">
        <v>43983</v>
      </c>
      <c r="B57" s="4">
        <v>-0.04</v>
      </c>
      <c r="D57" s="4" t="s">
        <v>63</v>
      </c>
    </row>
    <row r="58" spans="1:4" x14ac:dyDescent="0.25">
      <c r="A58" s="5">
        <v>44013</v>
      </c>
      <c r="B58" s="4">
        <v>-0.17</v>
      </c>
      <c r="D58" s="4" t="s">
        <v>63</v>
      </c>
    </row>
    <row r="59" spans="1:4" x14ac:dyDescent="0.25">
      <c r="A59" s="4" t="s">
        <v>39</v>
      </c>
      <c r="B59" s="4">
        <v>-0.21</v>
      </c>
      <c r="D59" s="4" t="s">
        <v>63</v>
      </c>
    </row>
    <row r="60" spans="1:4" x14ac:dyDescent="0.25">
      <c r="A60" s="5">
        <v>44075</v>
      </c>
      <c r="B60" s="4">
        <v>-0.25</v>
      </c>
      <c r="D60" s="4" t="s">
        <v>63</v>
      </c>
    </row>
    <row r="61" spans="1:4" x14ac:dyDescent="0.25">
      <c r="A61" s="5">
        <v>44105</v>
      </c>
      <c r="B61" s="4">
        <v>-0.34</v>
      </c>
      <c r="D61" s="4" t="s">
        <v>63</v>
      </c>
    </row>
    <row r="62" spans="1:4" x14ac:dyDescent="0.25">
      <c r="A62" s="5">
        <v>44136</v>
      </c>
      <c r="B62" s="4">
        <v>-0.38</v>
      </c>
      <c r="D62" s="4" t="s">
        <v>63</v>
      </c>
    </row>
    <row r="63" spans="1:4" x14ac:dyDescent="0.25">
      <c r="A63" s="4" t="s">
        <v>38</v>
      </c>
      <c r="B63" s="4">
        <v>-0.39</v>
      </c>
      <c r="C63" s="4">
        <f>AVERAGE(B52:B63)</f>
        <v>-0.14833333333333334</v>
      </c>
      <c r="D63" s="4" t="s">
        <v>63</v>
      </c>
    </row>
    <row r="64" spans="1:4" x14ac:dyDescent="0.25">
      <c r="A64" s="5">
        <v>44197</v>
      </c>
      <c r="B64" s="4">
        <v>-0.36</v>
      </c>
      <c r="D64" s="4" t="s">
        <v>63</v>
      </c>
    </row>
    <row r="65" spans="1:4" x14ac:dyDescent="0.25">
      <c r="A65" s="4" t="s">
        <v>37</v>
      </c>
      <c r="B65" s="4">
        <v>-0.21</v>
      </c>
      <c r="D65" s="4" t="s">
        <v>63</v>
      </c>
    </row>
    <row r="66" spans="1:4" x14ac:dyDescent="0.25">
      <c r="A66" s="5">
        <v>44256</v>
      </c>
      <c r="B66" s="4">
        <v>-0.04</v>
      </c>
      <c r="D66" s="4" t="s">
        <v>63</v>
      </c>
    </row>
    <row r="67" spans="1:4" x14ac:dyDescent="0.25">
      <c r="A67" s="4" t="s">
        <v>36</v>
      </c>
      <c r="B67" s="4">
        <v>0.04</v>
      </c>
      <c r="D67" s="4" t="s">
        <v>63</v>
      </c>
    </row>
    <row r="68" spans="1:4" x14ac:dyDescent="0.25">
      <c r="A68" s="4" t="s">
        <v>35</v>
      </c>
      <c r="B68" s="4">
        <v>0.18</v>
      </c>
      <c r="D68" s="4" t="s">
        <v>63</v>
      </c>
    </row>
    <row r="69" spans="1:4" x14ac:dyDescent="0.25">
      <c r="A69" s="5">
        <v>44348</v>
      </c>
      <c r="B69" s="4">
        <v>0.12</v>
      </c>
      <c r="D69" s="4" t="s">
        <v>63</v>
      </c>
    </row>
    <row r="70" spans="1:4" x14ac:dyDescent="0.25">
      <c r="A70" s="5">
        <v>44378</v>
      </c>
      <c r="B70" s="4">
        <v>-0.03</v>
      </c>
      <c r="D70" s="4" t="s">
        <v>63</v>
      </c>
    </row>
    <row r="71" spans="1:4" x14ac:dyDescent="0.25">
      <c r="A71" s="4" t="s">
        <v>34</v>
      </c>
      <c r="B71" s="4">
        <v>-0.14000000000000001</v>
      </c>
      <c r="D71" s="4" t="s">
        <v>63</v>
      </c>
    </row>
    <row r="72" spans="1:4" x14ac:dyDescent="0.25">
      <c r="A72" s="5">
        <v>44440</v>
      </c>
      <c r="B72" s="4">
        <v>0.01</v>
      </c>
      <c r="D72" s="4" t="s">
        <v>63</v>
      </c>
    </row>
    <row r="73" spans="1:4" x14ac:dyDescent="0.25">
      <c r="A73" s="5">
        <v>44470</v>
      </c>
      <c r="B73" s="4">
        <v>0.16</v>
      </c>
      <c r="D73" s="4" t="s">
        <v>63</v>
      </c>
    </row>
    <row r="74" spans="1:4" x14ac:dyDescent="0.25">
      <c r="A74" s="5">
        <v>44501</v>
      </c>
      <c r="B74" s="4">
        <v>7.0000000000000007E-2</v>
      </c>
      <c r="D74" s="4" t="s">
        <v>63</v>
      </c>
    </row>
    <row r="75" spans="1:4" x14ac:dyDescent="0.25">
      <c r="A75" s="4" t="s">
        <v>33</v>
      </c>
      <c r="B75" s="4">
        <v>0.03</v>
      </c>
      <c r="C75" s="4">
        <f>AVERAGE(B64:B75)</f>
        <v>-1.4166666666666659E-2</v>
      </c>
      <c r="D75" s="4" t="s">
        <v>63</v>
      </c>
    </row>
    <row r="76" spans="1:4" x14ac:dyDescent="0.25">
      <c r="A76" s="5">
        <v>44562</v>
      </c>
      <c r="B76" s="4">
        <v>0.26</v>
      </c>
      <c r="D76" s="4" t="s">
        <v>63</v>
      </c>
    </row>
    <row r="77" spans="1:4" x14ac:dyDescent="0.25">
      <c r="A77" s="4" t="s">
        <v>32</v>
      </c>
      <c r="B77" s="4">
        <v>0.59</v>
      </c>
      <c r="D77" s="4" t="s">
        <v>63</v>
      </c>
    </row>
    <row r="78" spans="1:4" x14ac:dyDescent="0.25">
      <c r="A78" s="5">
        <v>44621</v>
      </c>
      <c r="B78" s="4">
        <v>0.79</v>
      </c>
      <c r="D78" s="4" t="s">
        <v>63</v>
      </c>
    </row>
    <row r="79" spans="1:4" x14ac:dyDescent="0.25">
      <c r="A79" s="4" t="s">
        <v>31</v>
      </c>
      <c r="B79" s="4">
        <v>1.3</v>
      </c>
      <c r="D79" s="4" t="s">
        <v>63</v>
      </c>
    </row>
    <row r="80" spans="1:4" x14ac:dyDescent="0.25">
      <c r="A80" s="4" t="s">
        <v>30</v>
      </c>
      <c r="B80" s="4">
        <v>1.58</v>
      </c>
      <c r="D80" s="4" t="s">
        <v>63</v>
      </c>
    </row>
    <row r="81" spans="1:4" x14ac:dyDescent="0.25">
      <c r="A81" s="5">
        <v>44713</v>
      </c>
      <c r="B81" s="4">
        <v>2.13</v>
      </c>
      <c r="D81" s="4" t="s">
        <v>63</v>
      </c>
    </row>
    <row r="82" spans="1:4" x14ac:dyDescent="0.25">
      <c r="A82" s="5">
        <v>44743</v>
      </c>
      <c r="B82" s="4">
        <v>1.8</v>
      </c>
      <c r="D82" s="4" t="s">
        <v>63</v>
      </c>
    </row>
    <row r="83" spans="1:4" x14ac:dyDescent="0.25">
      <c r="A83" s="4" t="s">
        <v>29</v>
      </c>
      <c r="B83" s="4">
        <v>1.71</v>
      </c>
      <c r="D83" s="4" t="s">
        <v>63</v>
      </c>
    </row>
    <row r="84" spans="1:4" x14ac:dyDescent="0.25">
      <c r="A84" s="5">
        <v>44805</v>
      </c>
      <c r="B84" s="4">
        <v>2.4500000000000002</v>
      </c>
      <c r="D84" s="4" t="s">
        <v>63</v>
      </c>
    </row>
    <row r="85" spans="1:4" x14ac:dyDescent="0.25">
      <c r="A85" s="5">
        <v>44835</v>
      </c>
      <c r="B85" s="4">
        <v>2.84</v>
      </c>
      <c r="D85" s="4" t="s">
        <v>63</v>
      </c>
    </row>
    <row r="86" spans="1:4" x14ac:dyDescent="0.25">
      <c r="A86" s="5">
        <v>44866</v>
      </c>
      <c r="B86" s="4">
        <v>2.65</v>
      </c>
      <c r="D86" s="4" t="s">
        <v>63</v>
      </c>
    </row>
    <row r="87" spans="1:4" x14ac:dyDescent="0.25">
      <c r="A87" s="4" t="s">
        <v>28</v>
      </c>
      <c r="B87" s="4">
        <v>2.7</v>
      </c>
      <c r="C87" s="4">
        <f>AVERAGE(B76:B87)</f>
        <v>1.7333333333333332</v>
      </c>
      <c r="D87" s="4" t="s">
        <v>63</v>
      </c>
    </row>
    <row r="88" spans="1:4" x14ac:dyDescent="0.25">
      <c r="A88" s="5">
        <v>44927</v>
      </c>
      <c r="B88" s="4">
        <v>2.79</v>
      </c>
      <c r="D88" s="4" t="s">
        <v>63</v>
      </c>
    </row>
    <row r="89" spans="1:4" x14ac:dyDescent="0.25">
      <c r="A89" s="4" t="s">
        <v>27</v>
      </c>
      <c r="B89" s="4">
        <v>2.96</v>
      </c>
      <c r="D89" s="4" t="s">
        <v>63</v>
      </c>
    </row>
    <row r="90" spans="1:4" x14ac:dyDescent="0.25">
      <c r="A90" s="5">
        <v>44986</v>
      </c>
      <c r="B90" s="4">
        <v>3.04</v>
      </c>
      <c r="D90" s="4" t="s">
        <v>63</v>
      </c>
    </row>
    <row r="91" spans="1:4" x14ac:dyDescent="0.25">
      <c r="A91" s="4" t="s">
        <v>26</v>
      </c>
      <c r="B91" s="4">
        <v>3.06</v>
      </c>
      <c r="D91" s="4" t="s">
        <v>63</v>
      </c>
    </row>
    <row r="92" spans="1:4" x14ac:dyDescent="0.25">
      <c r="A92" s="4" t="s">
        <v>25</v>
      </c>
      <c r="B92" s="4">
        <v>3.04</v>
      </c>
      <c r="D92" s="4" t="s">
        <v>63</v>
      </c>
    </row>
    <row r="93" spans="1:4" x14ac:dyDescent="0.25">
      <c r="A93" s="5">
        <v>45078</v>
      </c>
      <c r="B93" s="4">
        <v>3.05</v>
      </c>
      <c r="D93" s="4" t="s">
        <v>63</v>
      </c>
    </row>
    <row r="94" spans="1:4" x14ac:dyDescent="0.25">
      <c r="A94" s="5">
        <v>45108</v>
      </c>
      <c r="B94" s="4">
        <v>3.14</v>
      </c>
      <c r="D94" s="4" t="s">
        <v>63</v>
      </c>
    </row>
    <row r="95" spans="1:4" x14ac:dyDescent="0.25">
      <c r="A95" s="4" t="s">
        <v>24</v>
      </c>
      <c r="B95" s="4">
        <v>3.22</v>
      </c>
      <c r="D95" s="4" t="s">
        <v>63</v>
      </c>
    </row>
    <row r="96" spans="1:4" x14ac:dyDescent="0.25">
      <c r="A96" s="5">
        <v>45170</v>
      </c>
      <c r="B96" s="4">
        <v>3.32</v>
      </c>
      <c r="D96" s="4" t="s">
        <v>63</v>
      </c>
    </row>
    <row r="97" spans="1:4" x14ac:dyDescent="0.25">
      <c r="A97" s="5">
        <v>45200</v>
      </c>
      <c r="B97" s="4">
        <v>3.52</v>
      </c>
      <c r="D97" s="4" t="s">
        <v>63</v>
      </c>
    </row>
    <row r="98" spans="1:4" x14ac:dyDescent="0.25">
      <c r="A98" s="5">
        <v>45231</v>
      </c>
      <c r="B98" s="4">
        <v>3.23</v>
      </c>
      <c r="D98" s="4" t="s">
        <v>63</v>
      </c>
    </row>
    <row r="99" spans="1:4" x14ac:dyDescent="0.25">
      <c r="A99" s="4" t="s">
        <v>23</v>
      </c>
      <c r="B99" s="4">
        <v>2.7</v>
      </c>
      <c r="C99" s="4">
        <f>AVERAGE(B88:B99)</f>
        <v>3.0891666666666668</v>
      </c>
      <c r="D99" s="4" t="s">
        <v>63</v>
      </c>
    </row>
    <row r="100" spans="1:4" x14ac:dyDescent="0.25">
      <c r="A100" s="5">
        <v>45292</v>
      </c>
      <c r="B100" s="4">
        <v>2.81</v>
      </c>
      <c r="D100" s="4" t="s">
        <v>63</v>
      </c>
    </row>
    <row r="101" spans="1:4" x14ac:dyDescent="0.25">
      <c r="A101" s="4" t="s">
        <v>22</v>
      </c>
      <c r="B101" s="4">
        <v>2.95</v>
      </c>
      <c r="D101" s="4" t="s">
        <v>63</v>
      </c>
    </row>
    <row r="102" spans="1:4" x14ac:dyDescent="0.25">
      <c r="A102" s="5">
        <v>45352</v>
      </c>
      <c r="B102" s="4">
        <v>2.91</v>
      </c>
      <c r="D102" s="4" t="s">
        <v>63</v>
      </c>
    </row>
    <row r="103" spans="1:4" x14ac:dyDescent="0.25">
      <c r="A103" s="4" t="s">
        <v>21</v>
      </c>
      <c r="B103" s="4">
        <v>3.01</v>
      </c>
      <c r="D103" s="4" t="s">
        <v>63</v>
      </c>
    </row>
    <row r="104" spans="1:4" x14ac:dyDescent="0.25">
      <c r="A104" s="4" t="s">
        <v>20</v>
      </c>
      <c r="B104" s="4">
        <v>3.06</v>
      </c>
      <c r="D104" s="4" t="s">
        <v>63</v>
      </c>
    </row>
    <row r="105" spans="1:4" x14ac:dyDescent="0.25">
      <c r="A105" s="5">
        <v>45444</v>
      </c>
      <c r="B105" s="4">
        <v>3.12</v>
      </c>
      <c r="D105" s="4" t="s">
        <v>63</v>
      </c>
    </row>
    <row r="106" spans="1:4" x14ac:dyDescent="0.25">
      <c r="A106" s="5">
        <v>45474</v>
      </c>
      <c r="B106" s="4">
        <v>3.06</v>
      </c>
      <c r="D106" s="4" t="s">
        <v>63</v>
      </c>
    </row>
    <row r="107" spans="1:4" x14ac:dyDescent="0.25">
      <c r="A107" s="4" t="s">
        <v>19</v>
      </c>
      <c r="B107" s="4">
        <v>2.83</v>
      </c>
      <c r="D107" s="4" t="s">
        <v>63</v>
      </c>
    </row>
    <row r="108" spans="1:4" x14ac:dyDescent="0.25">
      <c r="A108" s="5">
        <v>45536</v>
      </c>
      <c r="B108" s="4">
        <v>2.79</v>
      </c>
      <c r="D108" s="4" t="s">
        <v>63</v>
      </c>
    </row>
    <row r="109" spans="1:4" x14ac:dyDescent="0.25">
      <c r="A109" s="5">
        <v>45566</v>
      </c>
      <c r="B109" s="4">
        <v>2.84</v>
      </c>
      <c r="D109" s="4" t="s">
        <v>63</v>
      </c>
    </row>
    <row r="110" spans="1:4" x14ac:dyDescent="0.25">
      <c r="A110" s="5">
        <v>45597</v>
      </c>
      <c r="B110" s="4">
        <v>2.92</v>
      </c>
      <c r="D110" s="4" t="s">
        <v>63</v>
      </c>
    </row>
    <row r="111" spans="1:4" x14ac:dyDescent="0.25">
      <c r="A111" s="4" t="s">
        <v>18</v>
      </c>
      <c r="B111" s="4">
        <v>2.8</v>
      </c>
      <c r="C111" s="4">
        <f>AVERAGE(B100:B111)</f>
        <v>2.9249999999999994</v>
      </c>
      <c r="D111" s="4" t="s">
        <v>63</v>
      </c>
    </row>
    <row r="112" spans="1:4" x14ac:dyDescent="0.25">
      <c r="A112" s="5">
        <v>45658</v>
      </c>
      <c r="B112" s="4">
        <v>3.1</v>
      </c>
      <c r="D112" s="4" t="s">
        <v>63</v>
      </c>
    </row>
    <row r="113" spans="1:4" x14ac:dyDescent="0.25">
      <c r="A113" s="4" t="s">
        <v>17</v>
      </c>
      <c r="B113" s="4">
        <v>3.01</v>
      </c>
      <c r="D113" s="4" t="s">
        <v>63</v>
      </c>
    </row>
    <row r="114" spans="1:4" x14ac:dyDescent="0.25">
      <c r="A114" s="5">
        <v>45717</v>
      </c>
      <c r="B114" s="4">
        <v>3.32</v>
      </c>
      <c r="D114" s="4" t="s">
        <v>63</v>
      </c>
    </row>
    <row r="115" spans="1:4" x14ac:dyDescent="0.25">
      <c r="A115" s="4" t="s">
        <v>16</v>
      </c>
      <c r="B115" s="4">
        <v>3.14</v>
      </c>
      <c r="D115" s="4" t="s">
        <v>63</v>
      </c>
    </row>
    <row r="116" spans="1:4" x14ac:dyDescent="0.25">
      <c r="A116" s="4" t="s">
        <v>15</v>
      </c>
      <c r="B116" s="4">
        <v>3.14</v>
      </c>
      <c r="D116" s="4" t="s">
        <v>63</v>
      </c>
    </row>
    <row r="117" spans="1:4" x14ac:dyDescent="0.25">
      <c r="A117" s="5">
        <v>45809</v>
      </c>
      <c r="B117" s="4">
        <v>3.09</v>
      </c>
      <c r="D117" s="4" t="s">
        <v>63</v>
      </c>
    </row>
    <row r="118" spans="1:4" x14ac:dyDescent="0.25">
      <c r="A118" s="5">
        <v>45839</v>
      </c>
      <c r="B118" s="4">
        <v>3.21</v>
      </c>
      <c r="D118" s="4" t="s">
        <v>63</v>
      </c>
    </row>
    <row r="119" spans="1:4" x14ac:dyDescent="0.25">
      <c r="A119" s="4" t="s">
        <v>14</v>
      </c>
      <c r="B119" s="4">
        <v>3.23</v>
      </c>
      <c r="D119" s="4" t="s">
        <v>63</v>
      </c>
    </row>
    <row r="120" spans="1:4" x14ac:dyDescent="0.25">
      <c r="A120" s="5">
        <v>45901</v>
      </c>
      <c r="B120" s="4">
        <v>3.26</v>
      </c>
      <c r="D120" s="4" t="s">
        <v>63</v>
      </c>
    </row>
    <row r="121" spans="1:4" x14ac:dyDescent="0.25">
      <c r="A121" s="5">
        <v>45931</v>
      </c>
      <c r="B121" s="4">
        <v>3.19</v>
      </c>
      <c r="D121" s="4" t="s">
        <v>63</v>
      </c>
    </row>
    <row r="122" spans="1:4" x14ac:dyDescent="0.25">
      <c r="A122" s="5">
        <v>45962</v>
      </c>
      <c r="B122" s="4">
        <v>3.2</v>
      </c>
      <c r="D122" s="4" t="s">
        <v>63</v>
      </c>
    </row>
    <row r="123" spans="1:4" x14ac:dyDescent="0.25">
      <c r="A123" s="4" t="s">
        <v>13</v>
      </c>
      <c r="B123" s="4">
        <v>3.32</v>
      </c>
      <c r="C123" s="4">
        <f>AVERAGE(B112:B123)</f>
        <v>3.1841666666666666</v>
      </c>
      <c r="D123" s="4" t="s">
        <v>63</v>
      </c>
    </row>
    <row r="126" spans="1:4" ht="15.75" x14ac:dyDescent="0.25">
      <c r="A126" s="147" t="s">
        <v>67</v>
      </c>
    </row>
    <row r="127" spans="1:4" x14ac:dyDescent="0.25">
      <c r="B127" s="4">
        <f>AVERAGE(B4:B123)</f>
        <v>1.2955833333333329</v>
      </c>
    </row>
    <row r="128" spans="1:4" ht="15.75" x14ac:dyDescent="0.25">
      <c r="A128" s="173" t="s">
        <v>246</v>
      </c>
      <c r="B128" s="4">
        <f>B127</f>
        <v>1.2955833333333329</v>
      </c>
      <c r="C128" s="4" t="s">
        <v>63</v>
      </c>
    </row>
    <row r="129" spans="1:3" ht="15.75" x14ac:dyDescent="0.25">
      <c r="A129" s="147" t="s">
        <v>196</v>
      </c>
    </row>
    <row r="130" spans="1:3" x14ac:dyDescent="0.25">
      <c r="A130" s="4" t="s">
        <v>74</v>
      </c>
    </row>
    <row r="132" spans="1:3" x14ac:dyDescent="0.25">
      <c r="A132" s="4" t="s">
        <v>248</v>
      </c>
      <c r="C132" s="4" t="s">
        <v>249</v>
      </c>
    </row>
    <row r="133" spans="1:3" x14ac:dyDescent="0.25">
      <c r="A133" s="4" t="s">
        <v>250</v>
      </c>
      <c r="C133" s="4" t="s">
        <v>251</v>
      </c>
    </row>
    <row r="134" spans="1:3" x14ac:dyDescent="0.25">
      <c r="A134" s="4" t="s">
        <v>252</v>
      </c>
      <c r="C134" s="4" t="s">
        <v>253</v>
      </c>
    </row>
    <row r="135" spans="1:3" x14ac:dyDescent="0.25">
      <c r="A135" s="4" t="s">
        <v>254</v>
      </c>
      <c r="C135" s="4" t="s">
        <v>255</v>
      </c>
    </row>
    <row r="136" spans="1:3" x14ac:dyDescent="0.25">
      <c r="A136" s="4" t="s">
        <v>256</v>
      </c>
      <c r="C136" s="4" t="s">
        <v>257</v>
      </c>
    </row>
    <row r="137" spans="1:3" x14ac:dyDescent="0.25">
      <c r="A137" s="4" t="s">
        <v>258</v>
      </c>
      <c r="C137" s="4" t="s">
        <v>259</v>
      </c>
    </row>
    <row r="138" spans="1:3" x14ac:dyDescent="0.25">
      <c r="A138" s="4" t="s">
        <v>260</v>
      </c>
      <c r="C138" s="4" t="s">
        <v>261</v>
      </c>
    </row>
    <row r="139" spans="1:3" x14ac:dyDescent="0.25">
      <c r="A139" s="4" t="s">
        <v>262</v>
      </c>
      <c r="C139" s="4" t="s">
        <v>263</v>
      </c>
    </row>
    <row r="140" spans="1:3" x14ac:dyDescent="0.25">
      <c r="A140" s="4" t="s">
        <v>264</v>
      </c>
      <c r="C140" s="4" t="s">
        <v>265</v>
      </c>
    </row>
    <row r="141" spans="1:3" x14ac:dyDescent="0.25">
      <c r="A141" s="4" t="s">
        <v>266</v>
      </c>
      <c r="C141" s="174">
        <v>46155.416666666664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1.Tableau impact PEB</vt:lpstr>
      <vt:lpstr>2.Calcul rentabilité</vt:lpstr>
      <vt:lpstr>3.Scénario actif financier</vt:lpstr>
      <vt:lpstr>4.Scénario valeur immobilière</vt:lpstr>
      <vt:lpstr>5.Sensibilité de la VAN</vt:lpstr>
      <vt:lpstr>6.Taux rf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Noé Permentier</dc:creator>
  <cp:lastModifiedBy>Noé Permentier</cp:lastModifiedBy>
  <cp:lastPrinted>2026-05-27T11:46:57Z</cp:lastPrinted>
  <dcterms:created xsi:type="dcterms:W3CDTF">2026-03-29T15:34:40Z</dcterms:created>
  <dcterms:modified xsi:type="dcterms:W3CDTF">2026-05-28T02:28:42Z</dcterms:modified>
</cp:coreProperties>
</file>