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queryTables/queryTable4.xml" ContentType="application/vnd.openxmlformats-officedocument.spreadsheetml.query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ivio\Downloads\Mémoire - Résultats Analyses\"/>
    </mc:Choice>
  </mc:AlternateContent>
  <xr:revisionPtr revIDLastSave="0" documentId="13_ncr:1_{BB3153FF-A7A6-43D2-AE16-56316E9F87B9}" xr6:coauthVersionLast="47" xr6:coauthVersionMax="47" xr10:uidLastSave="{00000000-0000-0000-0000-000000000000}"/>
  <bookViews>
    <workbookView xWindow="-110" yWindow="-110" windowWidth="19420" windowHeight="11020" firstSheet="2" activeTab="7" xr2:uid="{E2D40098-6EA5-41C1-A342-D1028C74C35A}"/>
  </bookViews>
  <sheets>
    <sheet name="SA_V1" sheetId="3" r:id="rId1"/>
    <sheet name="COOP_V1" sheetId="2" r:id="rId2"/>
    <sheet name="Paliers_V1" sheetId="1" r:id="rId3"/>
    <sheet name="CarteRéseau_V1" sheetId="5" r:id="rId4"/>
    <sheet name="SA_V2" sheetId="6" r:id="rId5"/>
    <sheet name="COOP_V2" sheetId="7" r:id="rId6"/>
    <sheet name="Paliers_V2" sheetId="8" r:id="rId7"/>
    <sheet name="CarteRéseau_V2" sheetId="9" r:id="rId8"/>
  </sheets>
  <externalReferences>
    <externalReference r:id="rId9"/>
  </externalReferences>
  <definedNames>
    <definedName name="DonnéesExternes_1" localSheetId="1" hidden="1">COOP_V1!$A$1:$T$21</definedName>
    <definedName name="DonnéesExternes_1" localSheetId="5" hidden="1">COOP_V2!$A$1:$T$21</definedName>
    <definedName name="DonnéesExternes_2" localSheetId="0" hidden="1">SA_V1!$A$1:$T$41</definedName>
    <definedName name="DonnéesExternes_2" localSheetId="4" hidden="1">SA_V2!$A$1:$T$41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1" i="8" l="1"/>
  <c r="I78" i="8"/>
  <c r="M69" i="8"/>
  <c r="J69" i="8"/>
  <c r="J85" i="8" s="1"/>
  <c r="I69" i="8"/>
  <c r="J84" i="8" s="1"/>
  <c r="F69" i="8"/>
  <c r="M68" i="8"/>
  <c r="K68" i="8"/>
  <c r="H68" i="8"/>
  <c r="I75" i="8" s="1"/>
  <c r="M67" i="8"/>
  <c r="M66" i="8"/>
  <c r="K66" i="8"/>
  <c r="K67" i="8" s="1"/>
  <c r="J66" i="8"/>
  <c r="J67" i="8" s="1"/>
  <c r="I66" i="8"/>
  <c r="I67" i="8" s="1"/>
  <c r="H66" i="8"/>
  <c r="H69" i="8" s="1"/>
  <c r="J83" i="8" s="1"/>
  <c r="G66" i="8"/>
  <c r="G69" i="8" s="1"/>
  <c r="J82" i="8" s="1"/>
  <c r="F66" i="8"/>
  <c r="F67" i="8" s="1"/>
  <c r="E66" i="8"/>
  <c r="E67" i="8" s="1"/>
  <c r="S65" i="8"/>
  <c r="R65" i="8"/>
  <c r="K65" i="8"/>
  <c r="J65" i="8"/>
  <c r="J68" i="8" s="1"/>
  <c r="I77" i="8" s="1"/>
  <c r="I65" i="8"/>
  <c r="I68" i="8" s="1"/>
  <c r="I76" i="8" s="1"/>
  <c r="H65" i="8"/>
  <c r="G65" i="8"/>
  <c r="G68" i="8" s="1"/>
  <c r="I74" i="8" s="1"/>
  <c r="F65" i="8"/>
  <c r="F68" i="8" s="1"/>
  <c r="I73" i="8" s="1"/>
  <c r="E65" i="8"/>
  <c r="M64" i="8"/>
  <c r="Q63" i="8"/>
  <c r="Q62" i="8"/>
  <c r="Q61" i="8"/>
  <c r="Q60" i="8"/>
  <c r="Q59" i="8"/>
  <c r="Q58" i="8"/>
  <c r="Q57" i="8"/>
  <c r="Q56" i="8"/>
  <c r="Q55" i="8"/>
  <c r="Q54" i="8"/>
  <c r="Q53" i="8"/>
  <c r="Q52" i="8"/>
  <c r="Q51" i="8"/>
  <c r="Q50" i="8"/>
  <c r="Q49" i="8"/>
  <c r="Q48" i="8"/>
  <c r="Q47" i="8"/>
  <c r="Q46" i="8"/>
  <c r="Q45" i="8"/>
  <c r="Q44" i="8"/>
  <c r="Q43" i="8"/>
  <c r="Q42" i="8"/>
  <c r="Q41" i="8"/>
  <c r="Q40" i="8"/>
  <c r="Q39" i="8"/>
  <c r="Q38" i="8"/>
  <c r="Q37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65" i="8" s="1"/>
  <c r="Q4" i="8"/>
  <c r="X17" i="7"/>
  <c r="AB16" i="7"/>
  <c r="AA16" i="7"/>
  <c r="Z16" i="7"/>
  <c r="Y16" i="7"/>
  <c r="X16" i="7"/>
  <c r="AA15" i="7"/>
  <c r="Z15" i="7"/>
  <c r="Z17" i="7" s="1"/>
  <c r="Y15" i="7"/>
  <c r="Y17" i="7" s="1"/>
  <c r="X15" i="7"/>
  <c r="AA14" i="7"/>
  <c r="Z14" i="7"/>
  <c r="Y14" i="7"/>
  <c r="X14" i="7"/>
  <c r="AB14" i="7" s="1"/>
  <c r="AA13" i="7"/>
  <c r="AA17" i="7" s="1"/>
  <c r="Z13" i="7"/>
  <c r="Y13" i="7"/>
  <c r="X13" i="7"/>
  <c r="AB13" i="7" s="1"/>
  <c r="AA11" i="7"/>
  <c r="Z11" i="7"/>
  <c r="Y11" i="7"/>
  <c r="AB11" i="7" s="1"/>
  <c r="X11" i="7"/>
  <c r="AA10" i="7"/>
  <c r="Z10" i="7"/>
  <c r="Y10" i="7"/>
  <c r="X10" i="7"/>
  <c r="AB10" i="7" s="1"/>
  <c r="AA9" i="7"/>
  <c r="Z9" i="7"/>
  <c r="Y9" i="7"/>
  <c r="X9" i="7"/>
  <c r="AB9" i="7" s="1"/>
  <c r="AD8" i="7" s="1"/>
  <c r="AB8" i="7"/>
  <c r="AB12" i="7" s="1"/>
  <c r="AA8" i="7"/>
  <c r="AA12" i="7" s="1"/>
  <c r="Z8" i="7"/>
  <c r="Z12" i="7" s="1"/>
  <c r="Y8" i="7"/>
  <c r="Y12" i="7" s="1"/>
  <c r="X8" i="7"/>
  <c r="X12" i="7" s="1"/>
  <c r="AA7" i="7"/>
  <c r="Z7" i="7"/>
  <c r="Y7" i="7"/>
  <c r="AB7" i="7" s="1"/>
  <c r="X7" i="7"/>
  <c r="AA6" i="7"/>
  <c r="Z6" i="7"/>
  <c r="Y6" i="7"/>
  <c r="X6" i="7"/>
  <c r="AB6" i="7" s="1"/>
  <c r="AA5" i="7"/>
  <c r="AB5" i="7" s="1"/>
  <c r="Z5" i="7"/>
  <c r="Y5" i="7"/>
  <c r="X5" i="7"/>
  <c r="AD8" i="2"/>
  <c r="AE8" i="2"/>
  <c r="G67" i="8" l="1"/>
  <c r="H67" i="8"/>
  <c r="K69" i="8"/>
  <c r="J86" i="8" s="1"/>
  <c r="AE8" i="7"/>
  <c r="AD9" i="7"/>
  <c r="AE9" i="7" s="1"/>
  <c r="AD12" i="7"/>
  <c r="AB15" i="7"/>
  <c r="AD13" i="7" s="1"/>
  <c r="AA11" i="2"/>
  <c r="AA10" i="2"/>
  <c r="AA9" i="2"/>
  <c r="AA8" i="2"/>
  <c r="Z11" i="2"/>
  <c r="Z10" i="2"/>
  <c r="Z9" i="2"/>
  <c r="Z8" i="2"/>
  <c r="Y11" i="2"/>
  <c r="Y10" i="2"/>
  <c r="Y9" i="2"/>
  <c r="Y8" i="2"/>
  <c r="X11" i="2"/>
  <c r="X10" i="2"/>
  <c r="X9" i="2"/>
  <c r="X8" i="2"/>
  <c r="AB17" i="7" l="1"/>
  <c r="AE13" i="7" s="1"/>
  <c r="X12" i="2"/>
  <c r="Y12" i="2"/>
  <c r="Z12" i="2"/>
  <c r="AA12" i="2"/>
  <c r="AA16" i="2"/>
  <c r="Z16" i="2"/>
  <c r="Y16" i="2"/>
  <c r="X16" i="2"/>
  <c r="X15" i="2"/>
  <c r="AB11" i="2"/>
  <c r="G66" i="1"/>
  <c r="S65" i="1"/>
  <c r="R65" i="1"/>
  <c r="Q6" i="1"/>
  <c r="Q4" i="1"/>
  <c r="Q5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AA6" i="2"/>
  <c r="Z6" i="2"/>
  <c r="Y6" i="2"/>
  <c r="X6" i="2"/>
  <c r="X7" i="2"/>
  <c r="AA15" i="2"/>
  <c r="Z15" i="2"/>
  <c r="Y15" i="2"/>
  <c r="AA14" i="2"/>
  <c r="Z14" i="2"/>
  <c r="Y14" i="2"/>
  <c r="X14" i="2"/>
  <c r="AA13" i="2"/>
  <c r="Z13" i="2"/>
  <c r="Y13" i="2"/>
  <c r="X13" i="2"/>
  <c r="AA7" i="2"/>
  <c r="Z7" i="2"/>
  <c r="Y7" i="2"/>
  <c r="X5" i="2"/>
  <c r="AA5" i="2"/>
  <c r="Z5" i="2"/>
  <c r="Y5" i="2"/>
  <c r="AE12" i="7" l="1"/>
  <c r="X17" i="2"/>
  <c r="AA17" i="2"/>
  <c r="AB13" i="2"/>
  <c r="Y17" i="2"/>
  <c r="Z17" i="2"/>
  <c r="AB14" i="2"/>
  <c r="AD12" i="2" s="1"/>
  <c r="AB15" i="2"/>
  <c r="Q65" i="1"/>
  <c r="AB16" i="2"/>
  <c r="AB6" i="2"/>
  <c r="AB10" i="2"/>
  <c r="AD9" i="2" s="1"/>
  <c r="AB9" i="2"/>
  <c r="AB8" i="2"/>
  <c r="AB7" i="2"/>
  <c r="AB5" i="2"/>
  <c r="K66" i="1"/>
  <c r="J66" i="1"/>
  <c r="J67" i="1" s="1"/>
  <c r="I66" i="1"/>
  <c r="I67" i="1" s="1"/>
  <c r="H66" i="1"/>
  <c r="H67" i="1" s="1"/>
  <c r="F66" i="1"/>
  <c r="F67" i="1" s="1"/>
  <c r="E66" i="1"/>
  <c r="E67" i="1" s="1"/>
  <c r="K65" i="1"/>
  <c r="J65" i="1"/>
  <c r="I65" i="1"/>
  <c r="H65" i="1"/>
  <c r="G65" i="1"/>
  <c r="G67" i="1" s="1"/>
  <c r="F65" i="1"/>
  <c r="E65" i="1"/>
  <c r="M69" i="1"/>
  <c r="M68" i="1"/>
  <c r="M67" i="1"/>
  <c r="M66" i="1"/>
  <c r="M64" i="1"/>
  <c r="AD13" i="2" l="1"/>
  <c r="AB17" i="2"/>
  <c r="AE12" i="2" s="1"/>
  <c r="K67" i="1"/>
  <c r="AB12" i="2"/>
  <c r="AE9" i="2" s="1"/>
  <c r="I68" i="1"/>
  <c r="I76" i="1" s="1"/>
  <c r="I69" i="1"/>
  <c r="J84" i="1" s="1"/>
  <c r="G69" i="1"/>
  <c r="J82" i="1" s="1"/>
  <c r="K69" i="1"/>
  <c r="J86" i="1" s="1"/>
  <c r="J69" i="1"/>
  <c r="J85" i="1" s="1"/>
  <c r="H69" i="1"/>
  <c r="J83" i="1" s="1"/>
  <c r="F69" i="1"/>
  <c r="J81" i="1" s="1"/>
  <c r="H68" i="1"/>
  <c r="I75" i="1" s="1"/>
  <c r="F68" i="1"/>
  <c r="I73" i="1" s="1"/>
  <c r="K68" i="1"/>
  <c r="I78" i="1" s="1"/>
  <c r="J68" i="1"/>
  <c r="I77" i="1" s="1"/>
  <c r="G68" i="1"/>
  <c r="I74" i="1" s="1"/>
  <c r="AE13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D543CD5-7678-4934-8643-DA28C1015F16}" keepAlive="1" name="Requête - COOP" description="Connexion à la requête « COOP » dans le classeur." type="5" refreshedVersion="8" background="1" saveData="1">
    <dbPr connection="Provider=Microsoft.Mashup.OleDb.1;Data Source=$Workbook$;Location=COOP;Extended Properties=&quot;&quot;" command="SELECT * FROM [COOP]"/>
  </connection>
  <connection id="2" xr16:uid="{4FD7D3FE-7C65-4925-9A34-4DAE7E63724A}" keepAlive="1" name="Requête - COOP (2)" description="Connexion à la requête « COOP (2) » dans le classeur." type="5" refreshedVersion="8" background="1" saveData="1">
    <dbPr connection="Provider=Microsoft.Mashup.OleDb.1;Data Source=$Workbook$;Location=&quot;COOP (2)&quot;;Extended Properties=&quot;&quot;" command="SELECT * FROM [COOP (2)]"/>
  </connection>
  <connection id="3" xr16:uid="{3B89BFC4-6669-47E3-A6A9-83515BE58883}" keepAlive="1" name="Requête - SA" description="Connexion à la requête « SA » dans le classeur." type="5" refreshedVersion="8" background="1" saveData="1">
    <dbPr connection="Provider=Microsoft.Mashup.OleDb.1;Data Source=$Workbook$;Location=SA;Extended Properties=&quot;&quot;" command="SELECT * FROM [SA]"/>
  </connection>
  <connection id="4" xr16:uid="{17E4D231-3065-45F0-BF76-8C9A396AB16B}" keepAlive="1" name="Requête - SA (2)" description="Connexion à la requête « SA (2) » dans le classeur." type="5" refreshedVersion="8" background="1" saveData="1">
    <dbPr connection="Provider=Microsoft.Mashup.OleDb.1;Data Source=$Workbook$;Location=&quot;SA (2)&quot;;Extended Properties=&quot;&quot;" command="SELECT * FROM [SA (2)]"/>
  </connection>
</connections>
</file>

<file path=xl/sharedStrings.xml><?xml version="1.0" encoding="utf-8"?>
<sst xmlns="http://schemas.openxmlformats.org/spreadsheetml/2006/main" count="417" uniqueCount="116">
  <si>
    <t>Paliers</t>
  </si>
  <si>
    <t>Map</t>
  </si>
  <si>
    <t>Cap (%)</t>
  </si>
  <si>
    <t>Scenario</t>
  </si>
  <si>
    <t>Total Cost</t>
  </si>
  <si>
    <t>Opening Cost</t>
  </si>
  <si>
    <t>Transportation Cost</t>
  </si>
  <si>
    <t>Retailer Stock Cost</t>
  </si>
  <si>
    <t>DC Stock Cost</t>
  </si>
  <si>
    <t>Retailer Safety Stock Cost</t>
  </si>
  <si>
    <t>DC Safety Stock Cost</t>
  </si>
  <si>
    <t>Number of DCs</t>
  </si>
  <si>
    <t>Number of DCs - Level 1</t>
  </si>
  <si>
    <t>Number of DCs - Level 2</t>
  </si>
  <si>
    <t>Number of DCs - Level 3</t>
  </si>
  <si>
    <t>Loading Rate</t>
  </si>
  <si>
    <t>Synergie</t>
  </si>
  <si>
    <t xml:space="preserve">Tps RUN </t>
  </si>
  <si>
    <t>GAP</t>
  </si>
  <si>
    <t>TotalCost</t>
  </si>
  <si>
    <t>OpenCost</t>
  </si>
  <si>
    <t>TransCost</t>
  </si>
  <si>
    <t>StockRCost</t>
  </si>
  <si>
    <t>StockDCCost</t>
  </si>
  <si>
    <t>SafetyRCost</t>
  </si>
  <si>
    <t>SafetyDCCost</t>
  </si>
  <si>
    <t>SA</t>
  </si>
  <si>
    <t>COOP</t>
  </si>
  <si>
    <t>Composante</t>
  </si>
  <si>
    <t xml:space="preserve">Stand Alone </t>
  </si>
  <si>
    <t xml:space="preserve">Cooperation </t>
  </si>
  <si>
    <t>Coût d'ouverture</t>
  </si>
  <si>
    <t>Safety stock retailer</t>
  </si>
  <si>
    <t>Safety stock DC</t>
  </si>
  <si>
    <t>Coût de transport</t>
  </si>
  <si>
    <t>Safety stock retailer (-50%)</t>
  </si>
  <si>
    <t xml:space="preserve">COOP vs SA </t>
  </si>
  <si>
    <t>Cap%</t>
  </si>
  <si>
    <t>Moyenne</t>
  </si>
  <si>
    <t>TOTAL</t>
  </si>
  <si>
    <t>Taux de chargement SA</t>
  </si>
  <si>
    <t>Taux de chargement COOP</t>
  </si>
  <si>
    <t>Number of DCs - Level 4</t>
  </si>
  <si>
    <t>GAIN COOP</t>
  </si>
  <si>
    <t>Coût de stockage « cyclique » retailer</t>
  </si>
  <si>
    <t>Coût de commande et stockage  DC</t>
  </si>
  <si>
    <t xml:space="preserve">TOTAL SA </t>
  </si>
  <si>
    <t>TOTAL COOP</t>
  </si>
  <si>
    <t>DC ouvert</t>
  </si>
  <si>
    <t>Retailers affectés</t>
  </si>
  <si>
    <t>Palier</t>
  </si>
  <si>
    <t>15, 16, 19, 22, 32, 37, 45, 49, 54, 56</t>
  </si>
  <si>
    <t>2, 6, 23, 27, 40, 46</t>
  </si>
  <si>
    <t>3, 9, 18, 39</t>
  </si>
  <si>
    <t>Scénario</t>
  </si>
  <si>
    <t>SA1</t>
  </si>
  <si>
    <t>SA2</t>
  </si>
  <si>
    <t>Nombre de DC SA capacité 1000</t>
  </si>
  <si>
    <t>Nombre de DC SA capacité 2000</t>
  </si>
  <si>
    <t>Nombre de DC SA capacité 4000</t>
  </si>
  <si>
    <t>Nombre de DC SA capacité 8000</t>
  </si>
  <si>
    <t>Nombre de DC COOP capacité 1000</t>
  </si>
  <si>
    <t>Nombre de DC COOP capacité 2000</t>
  </si>
  <si>
    <t>Nombre de DC COOP capacité 4000</t>
  </si>
  <si>
    <t>Nombre de DC COOP capacité 8000</t>
  </si>
  <si>
    <t>4, 5, 13, 24, 25, 26, 29, 31, 35, 38, 43, 50, 52</t>
  </si>
  <si>
    <t xml:space="preserve">Modèle de base </t>
  </si>
  <si>
    <t xml:space="preserve">Modèle à paliers </t>
  </si>
  <si>
    <t>Fd = 2000, CAP% = 40%, MAP 1</t>
  </si>
  <si>
    <t>CAP% = 40%, MAP 1</t>
  </si>
  <si>
    <t>y</t>
  </si>
  <si>
    <t>x</t>
  </si>
  <si>
    <t>localisation</t>
  </si>
  <si>
    <t>2, 3, 6, 9, 18, 23, 27, 39, 40, 46</t>
  </si>
  <si>
    <t>15, 16, 19, 22, 32, 37, 42, 45, 49, 53, 54, 56</t>
  </si>
  <si>
    <t>1, 10, 12, 14, 21, 28, 36, 41, 47, 48, 58, 59</t>
  </si>
  <si>
    <t>7, 8, 11, 17, 20, 30, 33, 34, 44, 51, 55, 57, 60</t>
  </si>
  <si>
    <t>8, 33, 42, 44, 60</t>
  </si>
  <si>
    <t>2, 3, 6, 23, 27, 39, 40, 46, 53</t>
  </si>
  <si>
    <t>4, 5, 13, 20, 24, 25, 26, 29, 31, 35, 38, 43, 50, 52</t>
  </si>
  <si>
    <t>1, 9, 10, 12, 14, 18, 21, 28, 36, 41, 47, 48, 58, 59</t>
  </si>
  <si>
    <t>7, 11, 17, 30, 34, 51, 55, 57</t>
  </si>
  <si>
    <t>15, 32</t>
  </si>
  <si>
    <t>21, 22, 53, 54</t>
  </si>
  <si>
    <t>4, 5, 13, 17, 24, 25, 26, 29, 31, 35, 38, 43, 50, 52</t>
  </si>
  <si>
    <t>8, 20, 42, 44, 57, 60</t>
  </si>
  <si>
    <t>16, 19, 37, 45, 56</t>
  </si>
  <si>
    <t>1, 10, 12, 14, 28, 36, 41, 47, 48, 49, 58, 59</t>
  </si>
  <si>
    <t>7, 11, 30, 33, 34, 51, 55</t>
  </si>
  <si>
    <t>Coût d'ouverture (-23%)</t>
  </si>
  <si>
    <t>Coût de transport (-22%)</t>
  </si>
  <si>
    <t>Coût de stockage « cyclique » retailer (-34%)</t>
  </si>
  <si>
    <t>Coût de commande et stockage  DC (4%)</t>
  </si>
  <si>
    <t>Safety stock DC (-48%)</t>
  </si>
  <si>
    <t>4, 5, 7, 11, 13, 17, 20, 24, 25, 26, 29, 30, 31, 34, 35, 38, 43, 50, 51, 52, 55, 57, 59</t>
  </si>
  <si>
    <t>2, 3, 6, 9, 23, 27, 39, 40, 46</t>
  </si>
  <si>
    <t>1, 8, 10, 12, 14, 15, 16, 18, 19, 21, 22, 28, 32, 33, 36, 37, 41, 42, 44, 45, 47, 48, 49, 53, 54, 56, 58, 60</t>
  </si>
  <si>
    <t>2, 4, 5, 6, 7, 11, 13, 17, 20, 23, 24, 25, 26, 27, 29, 30, 31, 34, 35, 38, 40, 43, 46, 50, 51, 52, 55, 57, 59</t>
  </si>
  <si>
    <t>1, 3, 8, 9, 10, 12, 14, 15, 16, 18, 19, 21, 22, 28, 32, 33, 36, 37, 39, 41, 42, 44, 45, 47, 48, 49, 53, 54, 56, 58, 60</t>
  </si>
  <si>
    <t>4, 5, 13, 24, 25, 26, 29, 31, 35, 38, 43, 50, 52, 59</t>
  </si>
  <si>
    <t>1, 8, 10, 12, 14, 15, 16, 19, 21, 22, 28, 32, 36, 37, 41, 45, 47, 48, 49, 53, 54, 56, 58</t>
  </si>
  <si>
    <t>7, 11, 17, 20, 30, 33, 34, 42, 44, 51, 55, 57, 60</t>
  </si>
  <si>
    <t>Coût d'ouverture (-21%)</t>
  </si>
  <si>
    <t>Coût de transport (-21%)</t>
  </si>
  <si>
    <t>Coût de stockage « cyclique » retailer (-37%)</t>
  </si>
  <si>
    <t>Coût de commande et stockage  DC (7%)</t>
  </si>
  <si>
    <t>Safety stock DC (-47%)</t>
  </si>
  <si>
    <t>2, 3, 4, 6, 23, 27, 39, 40, 46</t>
  </si>
  <si>
    <t>5, 13, 24, 25, 26, 29, 30, 31, 35, 38, 43, 50, 52</t>
  </si>
  <si>
    <t>1, 9, 10, 12, 14, 15, 16, 18, 19, 21, 22, 28, 32, 36, 37, 41, 45, 47, 48, 49, 53, 54, 56, 58, 59</t>
  </si>
  <si>
    <t>7, 8, 11, 17, 20, 33, 34, 42, 44, 51, 55, 57, 60</t>
  </si>
  <si>
    <t>1, 9, 10, 12, 14, 15, 16, 19, 21, 22, 28, 32, 36, 37, 39, 41, 45, 47, 48, 49, 53, 54, 56, 58, 59</t>
  </si>
  <si>
    <t>2, 3, 6, 18, 23, 27, 40, 46</t>
  </si>
  <si>
    <t>4, 5, 13, 24, 25, 26, 29, 30, 31, 35, 38, 43, 50, 52</t>
  </si>
  <si>
    <t>1, 8, 10, 12, 14, 15, 16, 19, 21, 22, 28, 32, 33, 36, 37, 41, 42, 44, 45, 48, 53, 54, 56, 60</t>
  </si>
  <si>
    <t>2, 3, 6, 9, 18, 23, 27, 39, 40, 46, 47, 49, 58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</si>
</sst>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9" fontId="0" fillId="0" borderId="0" xfId="1" applyFont="1"/>
    <xf numFmtId="0" fontId="3" fillId="3" borderId="1" xfId="0" applyFont="1" applyFill="1" applyBorder="1" applyAlignment="1">
      <alignment horizontal="center"/>
    </xf>
    <xf numFmtId="9" fontId="0" fillId="0" borderId="2" xfId="1" applyFont="1" applyBorder="1"/>
    <xf numFmtId="10" fontId="0" fillId="0" borderId="2" xfId="1" applyNumberFormat="1" applyFont="1" applyBorder="1"/>
    <xf numFmtId="164" fontId="0" fillId="0" borderId="0" xfId="1" applyNumberFormat="1" applyFont="1"/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0" xfId="0" applyFill="1"/>
    <xf numFmtId="2" fontId="0" fillId="0" borderId="0" xfId="0" applyNumberFormat="1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10" fontId="0" fillId="0" borderId="0" xfId="1" applyNumberFormat="1" applyFont="1"/>
    <xf numFmtId="1" fontId="0" fillId="0" borderId="0" xfId="0" applyNumberFormat="1"/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5" borderId="3" xfId="0" applyFont="1" applyFill="1" applyBorder="1"/>
    <xf numFmtId="0" fontId="5" fillId="5" borderId="5" xfId="0" applyFont="1" applyFill="1" applyBorder="1"/>
    <xf numFmtId="2" fontId="5" fillId="5" borderId="0" xfId="0" applyNumberFormat="1" applyFont="1" applyFill="1"/>
    <xf numFmtId="2" fontId="5" fillId="5" borderId="2" xfId="0" applyNumberFormat="1" applyFont="1" applyFill="1" applyBorder="1"/>
    <xf numFmtId="0" fontId="5" fillId="5" borderId="6" xfId="0" applyFont="1" applyFill="1" applyBorder="1"/>
    <xf numFmtId="2" fontId="5" fillId="5" borderId="7" xfId="0" applyNumberFormat="1" applyFont="1" applyFill="1" applyBorder="1"/>
    <xf numFmtId="2" fontId="5" fillId="5" borderId="8" xfId="0" applyNumberFormat="1" applyFont="1" applyFill="1" applyBorder="1"/>
    <xf numFmtId="0" fontId="5" fillId="5" borderId="9" xfId="0" applyFont="1" applyFill="1" applyBorder="1"/>
    <xf numFmtId="164" fontId="5" fillId="5" borderId="10" xfId="1" applyNumberFormat="1" applyFont="1" applyFill="1" applyBorder="1"/>
    <xf numFmtId="164" fontId="5" fillId="5" borderId="11" xfId="0" applyNumberFormat="1" applyFont="1" applyFill="1" applyBorder="1"/>
    <xf numFmtId="2" fontId="5" fillId="5" borderId="1" xfId="0" applyNumberFormat="1" applyFont="1" applyFill="1" applyBorder="1"/>
    <xf numFmtId="2" fontId="5" fillId="5" borderId="4" xfId="0" applyNumberFormat="1" applyFont="1" applyFill="1" applyBorder="1"/>
    <xf numFmtId="0" fontId="7" fillId="5" borderId="9" xfId="0" applyFont="1" applyFill="1" applyBorder="1"/>
    <xf numFmtId="2" fontId="7" fillId="5" borderId="10" xfId="0" applyNumberFormat="1" applyFont="1" applyFill="1" applyBorder="1"/>
    <xf numFmtId="2" fontId="7" fillId="5" borderId="11" xfId="0" applyNumberFormat="1" applyFont="1" applyFill="1" applyBorder="1"/>
    <xf numFmtId="0" fontId="0" fillId="5" borderId="0" xfId="0" applyFill="1"/>
    <xf numFmtId="164" fontId="0" fillId="5" borderId="0" xfId="0" applyNumberFormat="1" applyFill="1"/>
    <xf numFmtId="9" fontId="5" fillId="5" borderId="0" xfId="1" applyFont="1" applyFill="1"/>
    <xf numFmtId="9" fontId="5" fillId="5" borderId="2" xfId="1" applyFont="1" applyFill="1" applyBorder="1"/>
    <xf numFmtId="9" fontId="5" fillId="5" borderId="0" xfId="1" applyFont="1" applyFill="1" applyBorder="1"/>
    <xf numFmtId="9" fontId="5" fillId="5" borderId="7" xfId="1" applyFont="1" applyFill="1" applyBorder="1"/>
    <xf numFmtId="9" fontId="5" fillId="5" borderId="8" xfId="1" applyFont="1" applyFill="1" applyBorder="1"/>
    <xf numFmtId="9" fontId="1" fillId="2" borderId="0" xfId="1" applyFont="1" applyFill="1" applyAlignment="1">
      <alignment horizontal="right" vertical="center" wrapText="1"/>
    </xf>
    <xf numFmtId="164" fontId="0" fillId="0" borderId="0" xfId="0" applyNumberFormat="1"/>
  </cellXfs>
  <cellStyles count="2">
    <cellStyle name="Normal" xfId="0" builtinId="0"/>
    <cellStyle name="Pourcentage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Paliers_V1!$I$72</c:f>
              <c:strCache>
                <c:ptCount val="1"/>
                <c:pt idx="0">
                  <c:v>Stand Alone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A6B-4E47-B046-2B2E1263AD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A6B-4E47-B046-2B2E1263ADD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A6B-4E47-B046-2B2E1263ADD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A6B-4E47-B046-2B2E1263ADD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0A6B-4E47-B046-2B2E1263ADD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A6B-4E47-B046-2B2E1263ADD0}"/>
              </c:ext>
            </c:extLst>
          </c:dPt>
          <c:dLbls>
            <c:dLbl>
              <c:idx val="0"/>
              <c:layout>
                <c:manualLayout>
                  <c:x val="6.1111111111111109E-2"/>
                  <c:y val="0.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6B-4E47-B046-2B2E1263ADD0}"/>
                </c:ext>
              </c:extLst>
            </c:dLbl>
            <c:dLbl>
              <c:idx val="1"/>
              <c:layout>
                <c:manualLayout>
                  <c:x val="9.4444444444444345E-2"/>
                  <c:y val="-0.1296296296296297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6B-4E47-B046-2B2E1263ADD0}"/>
                </c:ext>
              </c:extLst>
            </c:dLbl>
            <c:dLbl>
              <c:idx val="2"/>
              <c:layout>
                <c:manualLayout>
                  <c:x val="6.8810148731408578E-4"/>
                  <c:y val="0.11805537328667258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351662292213474"/>
                      <c:h val="0.177770487022455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A6B-4E47-B046-2B2E1263ADD0}"/>
                </c:ext>
              </c:extLst>
            </c:dLbl>
            <c:dLbl>
              <c:idx val="3"/>
              <c:layout>
                <c:manualLayout>
                  <c:x val="-0.11250000000000002"/>
                  <c:y val="0.1875000000000000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5884273840769906"/>
                      <c:h val="0.149992709244677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A6B-4E47-B046-2B2E1263ADD0}"/>
                </c:ext>
              </c:extLst>
            </c:dLbl>
            <c:dLbl>
              <c:idx val="4"/>
              <c:layout>
                <c:manualLayout>
                  <c:x val="-0.14722222222222223"/>
                  <c:y val="5.092592592592590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1952449693788276"/>
                      <c:h val="0.131046952464275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0A6B-4E47-B046-2B2E1263ADD0}"/>
                </c:ext>
              </c:extLst>
            </c:dLbl>
            <c:dLbl>
              <c:idx val="5"/>
              <c:layout>
                <c:manualLayout>
                  <c:x val="0.27777777777777779"/>
                  <c:y val="8.33333333333332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6B-4E47-B046-2B2E1263ADD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Paliers_V1!$H$73:$H$78</c:f>
              <c:strCache>
                <c:ptCount val="6"/>
                <c:pt idx="0">
                  <c:v>Coût d'ouverture</c:v>
                </c:pt>
                <c:pt idx="1">
                  <c:v>Coût de transport</c:v>
                </c:pt>
                <c:pt idx="2">
                  <c:v>Coût de stockage « cyclique » retailer</c:v>
                </c:pt>
                <c:pt idx="3">
                  <c:v>Coût de commande et stockage  DC</c:v>
                </c:pt>
                <c:pt idx="4">
                  <c:v>Safety stock retailer</c:v>
                </c:pt>
                <c:pt idx="5">
                  <c:v>Safety stock DC</c:v>
                </c:pt>
              </c:strCache>
            </c:strRef>
          </c:cat>
          <c:val>
            <c:numRef>
              <c:f>Paliers_V1!$I$73:$I$78</c:f>
              <c:numCache>
                <c:formatCode>0.0%</c:formatCode>
                <c:ptCount val="6"/>
                <c:pt idx="0">
                  <c:v>0.29849052075680355</c:v>
                </c:pt>
                <c:pt idx="1">
                  <c:v>0.28041651508944854</c:v>
                </c:pt>
                <c:pt idx="2">
                  <c:v>0.25911470742789033</c:v>
                </c:pt>
                <c:pt idx="3">
                  <c:v>9.6033007788306646E-2</c:v>
                </c:pt>
                <c:pt idx="4">
                  <c:v>2.38557900235538E-2</c:v>
                </c:pt>
                <c:pt idx="5">
                  <c:v>4.2089458913997436E-2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6B-4E47-B046-2B2E1263A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Paliers_V1!$J$80</c:f>
              <c:strCache>
                <c:ptCount val="1"/>
                <c:pt idx="0">
                  <c:v>Cooperation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81C-4C46-971C-A70FAC77E8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81C-4C46-971C-A70FAC77E8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1C-4C46-971C-A70FAC77E8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181C-4C46-971C-A70FAC77E8E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1C-4C46-971C-A70FAC77E8E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1C-4C46-971C-A70FAC77E8E0}"/>
              </c:ext>
            </c:extLst>
          </c:dPt>
          <c:dLbls>
            <c:dLbl>
              <c:idx val="0"/>
              <c:layout>
                <c:manualLayout>
                  <c:x val="3.888888888888889E-2"/>
                  <c:y val="0.23148148148148148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8220559930008748"/>
                      <c:h val="0.140306211723534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181C-4C46-971C-A70FAC77E8E0}"/>
                </c:ext>
              </c:extLst>
            </c:dLbl>
            <c:dLbl>
              <c:idx val="1"/>
              <c:layout>
                <c:manualLayout>
                  <c:x val="0.10277777777777765"/>
                  <c:y val="-7.407407407407407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7089545056867886"/>
                      <c:h val="0.131046952464275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181C-4C46-971C-A70FAC77E8E0}"/>
                </c:ext>
              </c:extLst>
            </c:dLbl>
            <c:dLbl>
              <c:idx val="2"/>
              <c:layout>
                <c:manualLayout>
                  <c:x val="-3.6111111111111122E-2"/>
                  <c:y val="0.1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1C-4C46-971C-A70FAC77E8E0}"/>
                </c:ext>
              </c:extLst>
            </c:dLbl>
            <c:dLbl>
              <c:idx val="3"/>
              <c:layout>
                <c:manualLayout>
                  <c:x val="-0.11151115485564304"/>
                  <c:y val="0.27546296296296291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3282830271216098"/>
                      <c:h val="0.1828273549139691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181C-4C46-971C-A70FAC77E8E0}"/>
                </c:ext>
              </c:extLst>
            </c:dLbl>
            <c:dLbl>
              <c:idx val="4"/>
              <c:layout>
                <c:manualLayout>
                  <c:x val="-0.22777777777777777"/>
                  <c:y val="0.115740740740740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1C-4C46-971C-A70FAC77E8E0}"/>
                </c:ext>
              </c:extLst>
            </c:dLbl>
            <c:dLbl>
              <c:idx val="5"/>
              <c:layout>
                <c:manualLayout>
                  <c:x val="0.3527777777777778"/>
                  <c:y val="8.7962962962962965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7897550306211721"/>
                      <c:h val="0.131046952464275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81C-4C46-971C-A70FAC77E8E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Paliers_V1!$H$81:$H$86</c:f>
              <c:strCache>
                <c:ptCount val="6"/>
                <c:pt idx="0">
                  <c:v>Coût d'ouverture (-23%)</c:v>
                </c:pt>
                <c:pt idx="1">
                  <c:v>Coût de transport (-22%)</c:v>
                </c:pt>
                <c:pt idx="2">
                  <c:v>Coût de stockage « cyclique » retailer (-34%)</c:v>
                </c:pt>
                <c:pt idx="3">
                  <c:v>Coût de commande et stockage  DC (4%)</c:v>
                </c:pt>
                <c:pt idx="4">
                  <c:v>Safety stock retailer (-50%)</c:v>
                </c:pt>
                <c:pt idx="5">
                  <c:v>Safety stock DC (-48%)</c:v>
                </c:pt>
              </c:strCache>
            </c:strRef>
          </c:cat>
          <c:val>
            <c:numRef>
              <c:f>Paliers_V1!$J$81:$J$86</c:f>
              <c:numCache>
                <c:formatCode>0.0%</c:formatCode>
                <c:ptCount val="6"/>
                <c:pt idx="0">
                  <c:v>0.30596758223800391</c:v>
                </c:pt>
                <c:pt idx="1">
                  <c:v>0.29039264933627973</c:v>
                </c:pt>
                <c:pt idx="2">
                  <c:v>0.22624757241347043</c:v>
                </c:pt>
                <c:pt idx="3">
                  <c:v>0.13259774455992662</c:v>
                </c:pt>
                <c:pt idx="4">
                  <c:v>1.5887858317913242E-2</c:v>
                </c:pt>
                <c:pt idx="5">
                  <c:v>2.8906593134405606E-2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C-4C46-971C-A70FAC77E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Paliers_V2!$I$72</c:f>
              <c:strCache>
                <c:ptCount val="1"/>
                <c:pt idx="0">
                  <c:v>Stand Alone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740-44FB-90EC-7D85BC4B6E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40-44FB-90EC-7D85BC4B6E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740-44FB-90EC-7D85BC4B6E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740-44FB-90EC-7D85BC4B6E1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740-44FB-90EC-7D85BC4B6E1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740-44FB-90EC-7D85BC4B6E1D}"/>
              </c:ext>
            </c:extLst>
          </c:dPt>
          <c:dLbls>
            <c:dLbl>
              <c:idx val="0"/>
              <c:layout>
                <c:manualLayout>
                  <c:x val="6.1111111111111109E-2"/>
                  <c:y val="0.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40-44FB-90EC-7D85BC4B6E1D}"/>
                </c:ext>
              </c:extLst>
            </c:dLbl>
            <c:dLbl>
              <c:idx val="1"/>
              <c:layout>
                <c:manualLayout>
                  <c:x val="0.26111111111111102"/>
                  <c:y val="-4.16666666666668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0-44FB-90EC-7D85BC4B6E1D}"/>
                </c:ext>
              </c:extLst>
            </c:dLbl>
            <c:dLbl>
              <c:idx val="2"/>
              <c:layout>
                <c:manualLayout>
                  <c:x val="6.8810148731408578E-4"/>
                  <c:y val="0.11805537328667258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351662292213474"/>
                      <c:h val="0.1777704870224555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740-44FB-90EC-7D85BC4B6E1D}"/>
                </c:ext>
              </c:extLst>
            </c:dLbl>
            <c:dLbl>
              <c:idx val="3"/>
              <c:layout>
                <c:manualLayout>
                  <c:x val="-0.11250000000000002"/>
                  <c:y val="0.1875000000000000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5884273840769906"/>
                      <c:h val="0.149992709244677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740-44FB-90EC-7D85BC4B6E1D}"/>
                </c:ext>
              </c:extLst>
            </c:dLbl>
            <c:dLbl>
              <c:idx val="4"/>
              <c:layout>
                <c:manualLayout>
                  <c:x val="-0.14722222222222223"/>
                  <c:y val="5.0925925925925902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1952449693788276"/>
                      <c:h val="0.131046952464275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740-44FB-90EC-7D85BC4B6E1D}"/>
                </c:ext>
              </c:extLst>
            </c:dLbl>
            <c:dLbl>
              <c:idx val="5"/>
              <c:layout>
                <c:manualLayout>
                  <c:x val="0.27777777777777779"/>
                  <c:y val="8.33333333333332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40-44FB-90EC-7D85BC4B6E1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Paliers_V2!$H$73:$H$78</c:f>
              <c:strCache>
                <c:ptCount val="6"/>
                <c:pt idx="0">
                  <c:v>Coût d'ouverture</c:v>
                </c:pt>
                <c:pt idx="1">
                  <c:v>Coût de transport</c:v>
                </c:pt>
                <c:pt idx="2">
                  <c:v>Coût de stockage « cyclique » retailer</c:v>
                </c:pt>
                <c:pt idx="3">
                  <c:v>Coût de commande et stockage  DC</c:v>
                </c:pt>
                <c:pt idx="4">
                  <c:v>Safety stock retailer</c:v>
                </c:pt>
                <c:pt idx="5">
                  <c:v>Safety stock DC</c:v>
                </c:pt>
              </c:strCache>
            </c:strRef>
          </c:cat>
          <c:val>
            <c:numRef>
              <c:f>Paliers_V2!$I$73:$I$78</c:f>
              <c:numCache>
                <c:formatCode>0.0%</c:formatCode>
                <c:ptCount val="6"/>
                <c:pt idx="0">
                  <c:v>0.3716967404273</c:v>
                </c:pt>
                <c:pt idx="1">
                  <c:v>0.28217284860735431</c:v>
                </c:pt>
                <c:pt idx="2">
                  <c:v>0.2432533253304642</c:v>
                </c:pt>
                <c:pt idx="3">
                  <c:v>5.8428352451742646E-2</c:v>
                </c:pt>
                <c:pt idx="4">
                  <c:v>1.8848173038343841E-2</c:v>
                </c:pt>
                <c:pt idx="5">
                  <c:v>2.5600560144794303E-2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40-44FB-90EC-7D85BC4B6E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1"/>
          <c:order val="0"/>
          <c:tx>
            <c:strRef>
              <c:f>Paliers_V2!$J$80</c:f>
              <c:strCache>
                <c:ptCount val="1"/>
                <c:pt idx="0">
                  <c:v>Cooperation 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06-4B7B-B777-59BBA93F90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06-4B7B-B777-59BBA93F90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06-4B7B-B777-59BBA93F90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06-4B7B-B777-59BBA93F90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06-4B7B-B777-59BBA93F906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06-4B7B-B777-59BBA93F906B}"/>
              </c:ext>
            </c:extLst>
          </c:dPt>
          <c:dLbls>
            <c:dLbl>
              <c:idx val="0"/>
              <c:layout>
                <c:manualLayout>
                  <c:x val="3.2657480314960629E-3"/>
                  <c:y val="0.25462962962962965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8220559930008748"/>
                      <c:h val="0.140306211723534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906-4B7B-B777-59BBA93F906B}"/>
                </c:ext>
              </c:extLst>
            </c:dLbl>
            <c:dLbl>
              <c:idx val="1"/>
              <c:layout>
                <c:manualLayout>
                  <c:x val="0.4083332239720035"/>
                  <c:y val="-1.388888888888888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7089545056867886"/>
                      <c:h val="0.131046952464275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0906-4B7B-B777-59BBA93F906B}"/>
                </c:ext>
              </c:extLst>
            </c:dLbl>
            <c:dLbl>
              <c:idx val="2"/>
              <c:layout>
                <c:manualLayout>
                  <c:x val="-5.2777777777777778E-2"/>
                  <c:y val="0.3425925925925926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06-4B7B-B777-59BBA93F906B}"/>
                </c:ext>
              </c:extLst>
            </c:dLbl>
            <c:dLbl>
              <c:idx val="3"/>
              <c:layout>
                <c:manualLayout>
                  <c:x val="-0.15317782152230972"/>
                  <c:y val="0.28472222222222215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3282830271216098"/>
                      <c:h val="0.1828273549139691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906-4B7B-B777-59BBA93F906B}"/>
                </c:ext>
              </c:extLst>
            </c:dLbl>
            <c:dLbl>
              <c:idx val="4"/>
              <c:layout>
                <c:manualLayout>
                  <c:x val="-0.2361111111111111"/>
                  <c:y val="8.10185185185185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88775153105862"/>
                      <c:h val="0.1356765820939049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0906-4B7B-B777-59BBA93F906B}"/>
                </c:ext>
              </c:extLst>
            </c:dLbl>
            <c:dLbl>
              <c:idx val="5"/>
              <c:layout>
                <c:manualLayout>
                  <c:x val="0.3527777777777778"/>
                  <c:y val="8.7962962962962965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7897550306211721"/>
                      <c:h val="0.1310469524642753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906-4B7B-B777-59BBA93F906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Paliers_V2!$H$81:$H$86</c:f>
              <c:strCache>
                <c:ptCount val="6"/>
                <c:pt idx="0">
                  <c:v>Coût d'ouverture (-21%)</c:v>
                </c:pt>
                <c:pt idx="1">
                  <c:v>Coût de transport (-21%)</c:v>
                </c:pt>
                <c:pt idx="2">
                  <c:v>Coût de stockage « cyclique » retailer (-37%)</c:v>
                </c:pt>
                <c:pt idx="3">
                  <c:v>Coût de commande et stockage  DC (7%)</c:v>
                </c:pt>
                <c:pt idx="4">
                  <c:v>Safety stock retailer (-50%)</c:v>
                </c:pt>
                <c:pt idx="5">
                  <c:v>Safety stock DC (-47%)</c:v>
                </c:pt>
              </c:strCache>
            </c:strRef>
          </c:cat>
          <c:val>
            <c:numRef>
              <c:f>Paliers_V2!$J$81:$J$86</c:f>
              <c:numCache>
                <c:formatCode>0.0%</c:formatCode>
                <c:ptCount val="6"/>
                <c:pt idx="0">
                  <c:v>0.38931584564751021</c:v>
                </c:pt>
                <c:pt idx="1">
                  <c:v>0.29410874129808423</c:v>
                </c:pt>
                <c:pt idx="2">
                  <c:v>0.20345776194045154</c:v>
                </c:pt>
                <c:pt idx="3">
                  <c:v>8.2525755771016202E-2</c:v>
                </c:pt>
                <c:pt idx="4">
                  <c:v>1.2478059640612561E-2</c:v>
                </c:pt>
                <c:pt idx="5">
                  <c:v>1.8113835702324877E-2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906-4B7B-B777-59BBA93F9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73</xdr:row>
      <xdr:rowOff>25400</xdr:rowOff>
    </xdr:from>
    <xdr:to>
      <xdr:col>13</xdr:col>
      <xdr:colOff>1444625</xdr:colOff>
      <xdr:row>86</xdr:row>
      <xdr:rowOff>165100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141DA20-E98A-A3A8-3F81-6AC18A17D2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1450975</xdr:colOff>
      <xdr:row>73</xdr:row>
      <xdr:rowOff>25400</xdr:rowOff>
    </xdr:from>
    <xdr:to>
      <xdr:col>18</xdr:col>
      <xdr:colOff>530225</xdr:colOff>
      <xdr:row>86</xdr:row>
      <xdr:rowOff>165100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0ADCE1F-A3BD-89D8-6FBF-68D9752E12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1308100</xdr:colOff>
      <xdr:row>74</xdr:row>
      <xdr:rowOff>25400</xdr:rowOff>
    </xdr:from>
    <xdr:to>
      <xdr:col>14</xdr:col>
      <xdr:colOff>1365502</xdr:colOff>
      <xdr:row>74</xdr:row>
      <xdr:rowOff>31153</xdr:rowOff>
    </xdr:to>
    <xdr:cxnSp macro="">
      <xdr:nvCxnSpPr>
        <xdr:cNvPr id="4" name="Connecteur : en arc 3">
          <a:extLst>
            <a:ext uri="{FF2B5EF4-FFF2-40B4-BE49-F238E27FC236}">
              <a16:creationId xmlns:a16="http://schemas.microsoft.com/office/drawing/2014/main" id="{25EC66D9-572F-476E-83C0-993869E84B8A}"/>
            </a:ext>
          </a:extLst>
        </xdr:cNvPr>
        <xdr:cNvCxnSpPr/>
      </xdr:nvCxnSpPr>
      <xdr:spPr>
        <a:xfrm>
          <a:off x="16389350" y="13709650"/>
          <a:ext cx="3194302" cy="5753"/>
        </a:xfrm>
        <a:prstGeom prst="curvedConnector3">
          <a:avLst/>
        </a:prstGeom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670092</xdr:colOff>
      <xdr:row>73</xdr:row>
      <xdr:rowOff>131734</xdr:rowOff>
    </xdr:from>
    <xdr:to>
      <xdr:col>13</xdr:col>
      <xdr:colOff>1375047</xdr:colOff>
      <xdr:row>74</xdr:row>
      <xdr:rowOff>166806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D1E25F3-84D3-4ABC-8076-9469B60C7BAA}"/>
            </a:ext>
          </a:extLst>
        </xdr:cNvPr>
        <xdr:cNvSpPr txBox="1"/>
      </xdr:nvSpPr>
      <xdr:spPr>
        <a:xfrm>
          <a:off x="17319792" y="13612784"/>
          <a:ext cx="704955" cy="2382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-24,92%</a:t>
          </a:r>
        </a:p>
      </xdr:txBody>
    </xdr:sp>
    <xdr:clientData/>
  </xdr:twoCellAnchor>
  <xdr:twoCellAnchor>
    <xdr:from>
      <xdr:col>14</xdr:col>
      <xdr:colOff>1343393</xdr:colOff>
      <xdr:row>73</xdr:row>
      <xdr:rowOff>95250</xdr:rowOff>
    </xdr:from>
    <xdr:to>
      <xdr:col>15</xdr:col>
      <xdr:colOff>82278</xdr:colOff>
      <xdr:row>74</xdr:row>
      <xdr:rowOff>146828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856D6257-36FC-4FF4-8690-3CBAB90A52E5}"/>
            </a:ext>
          </a:extLst>
        </xdr:cNvPr>
        <xdr:cNvSpPr/>
      </xdr:nvSpPr>
      <xdr:spPr>
        <a:xfrm>
          <a:off x="19561543" y="13576300"/>
          <a:ext cx="307335" cy="254778"/>
        </a:xfrm>
        <a:prstGeom prst="righ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73</xdr:row>
      <xdr:rowOff>25400</xdr:rowOff>
    </xdr:from>
    <xdr:to>
      <xdr:col>13</xdr:col>
      <xdr:colOff>1444625</xdr:colOff>
      <xdr:row>86</xdr:row>
      <xdr:rowOff>165100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5E8D859-4D4A-4D70-9A9D-0F3E0F21A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1450975</xdr:colOff>
      <xdr:row>73</xdr:row>
      <xdr:rowOff>25400</xdr:rowOff>
    </xdr:from>
    <xdr:to>
      <xdr:col>18</xdr:col>
      <xdr:colOff>530225</xdr:colOff>
      <xdr:row>86</xdr:row>
      <xdr:rowOff>165100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8C6290D6-D460-4C81-BE7A-DF00AE33E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1308100</xdr:colOff>
      <xdr:row>74</xdr:row>
      <xdr:rowOff>25400</xdr:rowOff>
    </xdr:from>
    <xdr:to>
      <xdr:col>14</xdr:col>
      <xdr:colOff>1365502</xdr:colOff>
      <xdr:row>74</xdr:row>
      <xdr:rowOff>31153</xdr:rowOff>
    </xdr:to>
    <xdr:cxnSp macro="">
      <xdr:nvCxnSpPr>
        <xdr:cNvPr id="4" name="Connecteur : en arc 3">
          <a:extLst>
            <a:ext uri="{FF2B5EF4-FFF2-40B4-BE49-F238E27FC236}">
              <a16:creationId xmlns:a16="http://schemas.microsoft.com/office/drawing/2014/main" id="{F847AA21-E26F-411C-9FDA-66F821251C63}"/>
            </a:ext>
          </a:extLst>
        </xdr:cNvPr>
        <xdr:cNvCxnSpPr/>
      </xdr:nvCxnSpPr>
      <xdr:spPr>
        <a:xfrm>
          <a:off x="16389350" y="13709650"/>
          <a:ext cx="3194302" cy="5753"/>
        </a:xfrm>
        <a:prstGeom prst="curvedConnector3">
          <a:avLst/>
        </a:prstGeom>
        <a:ln w="28575" cap="flat" cmpd="sng" algn="ctr">
          <a:solidFill>
            <a:srgbClr val="FF0000"/>
          </a:solidFill>
          <a:prstDash val="dash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670092</xdr:colOff>
      <xdr:row>73</xdr:row>
      <xdr:rowOff>131734</xdr:rowOff>
    </xdr:from>
    <xdr:to>
      <xdr:col>13</xdr:col>
      <xdr:colOff>1375047</xdr:colOff>
      <xdr:row>74</xdr:row>
      <xdr:rowOff>166806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E7C138C0-557F-45CB-9403-4F8963E67F52}"/>
            </a:ext>
          </a:extLst>
        </xdr:cNvPr>
        <xdr:cNvSpPr txBox="1"/>
      </xdr:nvSpPr>
      <xdr:spPr>
        <a:xfrm>
          <a:off x="17319792" y="13612784"/>
          <a:ext cx="704955" cy="2382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-24,47%</a:t>
          </a:r>
        </a:p>
      </xdr:txBody>
    </xdr:sp>
    <xdr:clientData/>
  </xdr:twoCellAnchor>
  <xdr:twoCellAnchor>
    <xdr:from>
      <xdr:col>14</xdr:col>
      <xdr:colOff>1343393</xdr:colOff>
      <xdr:row>73</xdr:row>
      <xdr:rowOff>95250</xdr:rowOff>
    </xdr:from>
    <xdr:to>
      <xdr:col>15</xdr:col>
      <xdr:colOff>82278</xdr:colOff>
      <xdr:row>74</xdr:row>
      <xdr:rowOff>146828</xdr:rowOff>
    </xdr:to>
    <xdr:sp macro="" textlink="">
      <xdr:nvSpPr>
        <xdr:cNvPr id="6" name="Flèche : droite 5">
          <a:extLst>
            <a:ext uri="{FF2B5EF4-FFF2-40B4-BE49-F238E27FC236}">
              <a16:creationId xmlns:a16="http://schemas.microsoft.com/office/drawing/2014/main" id="{EBB2D634-6629-420B-AF53-AC709CE098FD}"/>
            </a:ext>
          </a:extLst>
        </xdr:cNvPr>
        <xdr:cNvSpPr/>
      </xdr:nvSpPr>
      <xdr:spPr>
        <a:xfrm>
          <a:off x="19561543" y="13576300"/>
          <a:ext cx="307335" cy="254778"/>
        </a:xfrm>
        <a:prstGeom prst="rightArrow">
          <a:avLst/>
        </a:prstGeom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ivio\Downloads\M&#233;moire%20-%20R&#233;sultats%20Analyses\Resultats_Modele_Paliers_V2.xlsx" TargetMode="External"/><Relationship Id="rId1" Type="http://schemas.openxmlformats.org/officeDocument/2006/relationships/externalLinkPath" Target="Resultats_Modele_Palier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_V2"/>
      <sheetName val="COOP_V2"/>
      <sheetName val="Paliers_V2"/>
      <sheetName val="CarteRéseau_V2"/>
    </sheetNames>
    <sheetDataSet>
      <sheetData sheetId="0"/>
      <sheetData sheetId="1"/>
      <sheetData sheetId="2">
        <row r="72">
          <cell r="I72" t="str">
            <v xml:space="preserve">Stand Alone </v>
          </cell>
        </row>
        <row r="73">
          <cell r="H73" t="str">
            <v>Coût d'ouverture</v>
          </cell>
          <cell r="I73">
            <v>0.3716967404273</v>
          </cell>
        </row>
        <row r="74">
          <cell r="H74" t="str">
            <v>Coût de transport</v>
          </cell>
          <cell r="I74">
            <v>0.28217284860735431</v>
          </cell>
        </row>
        <row r="75">
          <cell r="H75" t="str">
            <v>Coût de stockage « cyclique » retailer</v>
          </cell>
          <cell r="I75">
            <v>0.2432533253304642</v>
          </cell>
        </row>
        <row r="76">
          <cell r="H76" t="str">
            <v>Coût de commande et stockage  DC</v>
          </cell>
          <cell r="I76">
            <v>5.8428352451742646E-2</v>
          </cell>
        </row>
        <row r="77">
          <cell r="H77" t="str">
            <v>Safety stock retailer</v>
          </cell>
          <cell r="I77">
            <v>1.8848173038343841E-2</v>
          </cell>
        </row>
        <row r="78">
          <cell r="H78" t="str">
            <v>Safety stock DC</v>
          </cell>
          <cell r="I78">
            <v>2.5600560144794303E-2</v>
          </cell>
        </row>
        <row r="80">
          <cell r="J80" t="str">
            <v xml:space="preserve">Cooperation </v>
          </cell>
        </row>
        <row r="81">
          <cell r="H81" t="str">
            <v>Coût d'ouverture (-21%)</v>
          </cell>
          <cell r="J81">
            <v>0.38931584564751021</v>
          </cell>
        </row>
        <row r="82">
          <cell r="H82" t="str">
            <v>Coût de transport (-21%)</v>
          </cell>
          <cell r="J82">
            <v>0.29410874129808423</v>
          </cell>
        </row>
        <row r="83">
          <cell r="H83" t="str">
            <v>Coût de stockage « cyclique » retailer (-37%)</v>
          </cell>
          <cell r="J83">
            <v>0.20345776194045154</v>
          </cell>
        </row>
        <row r="84">
          <cell r="H84" t="str">
            <v>Coût de commande et stockage  DC (7%)</v>
          </cell>
          <cell r="J84">
            <v>8.2525755771016202E-2</v>
          </cell>
        </row>
        <row r="85">
          <cell r="H85" t="str">
            <v>Safety stock retailer (-50%)</v>
          </cell>
          <cell r="J85">
            <v>1.2478059640612561E-2</v>
          </cell>
        </row>
        <row r="86">
          <cell r="H86" t="str">
            <v>Safety stock DC (-47%)</v>
          </cell>
          <cell r="J86">
            <v>1.8113835702324877E-2</v>
          </cell>
        </row>
      </sheetData>
      <sheetData sheetId="3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3" xr16:uid="{3EDA5356-B77B-4AF1-8AAC-ADEEA2050D52}" autoFormatId="16" applyNumberFormats="0" applyBorderFormats="0" applyFontFormats="0" applyPatternFormats="0" applyAlignmentFormats="0" applyWidthHeightFormats="0">
  <queryTableRefresh nextId="22">
    <queryTableFields count="20">
      <queryTableField id="1" name="Map" tableColumnId="1"/>
      <queryTableField id="2" name="Cap (%)" tableColumnId="2"/>
      <queryTableField id="3" name="Scenario" tableColumnId="3"/>
      <queryTableField id="4" name="Total Cost" tableColumnId="4"/>
      <queryTableField id="5" name="Opening Cost" tableColumnId="5"/>
      <queryTableField id="6" name="Transportation Cost" tableColumnId="6"/>
      <queryTableField id="7" name="Retailer Stock Cost" tableColumnId="7"/>
      <queryTableField id="8" name="DC Stock Cost" tableColumnId="8"/>
      <queryTableField id="9" name="Retailer Safety Stock Cost" tableColumnId="9"/>
      <queryTableField id="10" name="DC Safety Stock Cost" tableColumnId="10"/>
      <queryTableField id="11" name="Number of DCs" tableColumnId="11"/>
      <queryTableField id="12" name="Number of DCs - Level 1" tableColumnId="12"/>
      <queryTableField id="13" name="Number of DCs - Level 2" tableColumnId="13"/>
      <queryTableField id="14" name="Number of DCs - Level 3" tableColumnId="14"/>
      <queryTableField id="20" name="Number of DCs - Level 4" tableColumnId="20"/>
      <queryTableField id="15" name="Loading Rate" tableColumnId="15"/>
      <queryTableField id="16" name="Synergie" tableColumnId="16"/>
      <queryTableField id="17" name="Tps RUN " tableColumnId="17"/>
      <queryTableField id="18" name="GAP" tableColumnId="18"/>
      <queryTableField id="19" name="COOP vs SA " tableColumnId="1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CE0F921B-D42E-4184-9E1B-9A923BFAA0B0}" autoFormatId="16" applyNumberFormats="0" applyBorderFormats="0" applyFontFormats="0" applyPatternFormats="0" applyAlignmentFormats="0" applyWidthHeightFormats="0">
  <queryTableRefresh nextId="22">
    <queryTableFields count="20">
      <queryTableField id="1" name="Map" tableColumnId="1"/>
      <queryTableField id="2" name="Cap (%)" tableColumnId="2"/>
      <queryTableField id="3" name="Scenario" tableColumnId="3"/>
      <queryTableField id="4" name="Total Cost" tableColumnId="4"/>
      <queryTableField id="5" name="Opening Cost" tableColumnId="5"/>
      <queryTableField id="6" name="Transportation Cost" tableColumnId="6"/>
      <queryTableField id="7" name="Retailer Stock Cost" tableColumnId="7"/>
      <queryTableField id="8" name="DC Stock Cost" tableColumnId="8"/>
      <queryTableField id="9" name="Retailer Safety Stock Cost" tableColumnId="9"/>
      <queryTableField id="10" name="DC Safety Stock Cost" tableColumnId="10"/>
      <queryTableField id="11" name="Number of DCs" tableColumnId="11"/>
      <queryTableField id="12" name="Number of DCs - Level 1" tableColumnId="12"/>
      <queryTableField id="13" name="Number of DCs - Level 2" tableColumnId="13"/>
      <queryTableField id="14" name="Number of DCs - Level 3" tableColumnId="14"/>
      <queryTableField id="20" name="Number of DCs - Level 4" tableColumnId="20"/>
      <queryTableField id="15" name="Loading Rate" tableColumnId="15"/>
      <queryTableField id="16" name="Synergie" tableColumnId="16"/>
      <queryTableField id="17" name="Tps RUN " tableColumnId="17"/>
      <queryTableField id="18" name="GAP" tableColumnId="18"/>
      <queryTableField id="19" name="COOP vs SA " tableColumnId="1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4" xr16:uid="{F7AA74A1-2CF6-44B2-9795-C6B687283F19}" autoFormatId="16" applyNumberFormats="0" applyBorderFormats="0" applyFontFormats="0" applyPatternFormats="0" applyAlignmentFormats="0" applyWidthHeightFormats="0">
  <queryTableRefresh nextId="22">
    <queryTableFields count="20">
      <queryTableField id="1" name="Map" tableColumnId="1"/>
      <queryTableField id="2" name="Cap (%)" tableColumnId="2"/>
      <queryTableField id="3" name="Scenario" tableColumnId="3"/>
      <queryTableField id="4" name="Total Cost" tableColumnId="4"/>
      <queryTableField id="5" name="Opening Cost" tableColumnId="5"/>
      <queryTableField id="6" name="Transportation Cost" tableColumnId="6"/>
      <queryTableField id="7" name="Retailer Stock Cost" tableColumnId="7"/>
      <queryTableField id="8" name="DC Stock Cost" tableColumnId="8"/>
      <queryTableField id="9" name="Retailer Safety Stock Cost" tableColumnId="9"/>
      <queryTableField id="10" name="DC Safety Stock Cost" tableColumnId="10"/>
      <queryTableField id="11" name="Number of DCs" tableColumnId="11"/>
      <queryTableField id="12" name="Number of DCs - Level 1" tableColumnId="12"/>
      <queryTableField id="13" name="Number of DCs - Level 2" tableColumnId="13"/>
      <queryTableField id="14" name="Number of DCs - Level 3" tableColumnId="14"/>
      <queryTableField id="20" name="Number of DCs - Level 4" tableColumnId="20"/>
      <queryTableField id="15" name="Loading Rate" tableColumnId="15"/>
      <queryTableField id="16" name="Synergie" tableColumnId="16"/>
      <queryTableField id="17" name="Tps RUN " tableColumnId="17"/>
      <queryTableField id="18" name="GAP" tableColumnId="18"/>
      <queryTableField id="19" name="COOP vs SA " tableColumnId="1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2" xr16:uid="{3E87E295-C0E5-476C-A5FF-4418BEA6DDFE}" autoFormatId="16" applyNumberFormats="0" applyBorderFormats="0" applyFontFormats="0" applyPatternFormats="0" applyAlignmentFormats="0" applyWidthHeightFormats="0">
  <queryTableRefresh nextId="22">
    <queryTableFields count="20">
      <queryTableField id="1" name="Map" tableColumnId="1"/>
      <queryTableField id="2" name="Cap (%)" tableColumnId="2"/>
      <queryTableField id="3" name="Scenario" tableColumnId="3"/>
      <queryTableField id="4" name="Total Cost" tableColumnId="4"/>
      <queryTableField id="5" name="Opening Cost" tableColumnId="5"/>
      <queryTableField id="6" name="Transportation Cost" tableColumnId="6"/>
      <queryTableField id="7" name="Retailer Stock Cost" tableColumnId="7"/>
      <queryTableField id="8" name="DC Stock Cost" tableColumnId="8"/>
      <queryTableField id="9" name="Retailer Safety Stock Cost" tableColumnId="9"/>
      <queryTableField id="10" name="DC Safety Stock Cost" tableColumnId="10"/>
      <queryTableField id="11" name="Number of DCs" tableColumnId="11"/>
      <queryTableField id="12" name="Number of DCs - Level 1" tableColumnId="12"/>
      <queryTableField id="13" name="Number of DCs - Level 2" tableColumnId="13"/>
      <queryTableField id="14" name="Number of DCs - Level 3" tableColumnId="14"/>
      <queryTableField id="20" name="Number of DCs - Level 4" tableColumnId="20"/>
      <queryTableField id="15" name="Loading Rate" tableColumnId="15"/>
      <queryTableField id="16" name="Synergie" tableColumnId="16"/>
      <queryTableField id="17" name="Tps RUN " tableColumnId="17"/>
      <queryTableField id="18" name="GAP" tableColumnId="18"/>
      <queryTableField id="19" name="COOP vs SA 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11F3C5-7E38-46C7-84A6-B8F956563DC4}" name="SA" displayName="SA" ref="A1:T41" tableType="queryTable" totalsRowShown="0">
  <autoFilter ref="A1:T41" xr:uid="{AF11F3C5-7E38-46C7-84A6-B8F956563DC4}"/>
  <tableColumns count="20">
    <tableColumn id="1" xr3:uid="{713A7E40-02A4-40BB-B3FF-95C9AB1ED294}" uniqueName="1" name="Map" queryTableFieldId="1"/>
    <tableColumn id="2" xr3:uid="{7CBC287E-B5CF-406A-9E27-C66EB39CC9D2}" uniqueName="2" name="Cap (%)" queryTableFieldId="2"/>
    <tableColumn id="3" xr3:uid="{15B2B280-E0C7-46D9-A023-784244B5D8D3}" uniqueName="3" name="Scenario" queryTableFieldId="3"/>
    <tableColumn id="4" xr3:uid="{C1FEF87C-94B6-412D-9455-21C76053D0C5}" uniqueName="4" name="Total Cost" queryTableFieldId="4"/>
    <tableColumn id="5" xr3:uid="{101223A1-3398-474A-BBA3-BB22F6E16166}" uniqueName="5" name="Opening Cost" queryTableFieldId="5"/>
    <tableColumn id="6" xr3:uid="{A14E4E13-0DF4-465D-A499-60729413D531}" uniqueName="6" name="Transportation Cost" queryTableFieldId="6"/>
    <tableColumn id="7" xr3:uid="{60E2EEA3-72A4-4718-AC6E-8EA61C0DFFD7}" uniqueName="7" name="Retailer Stock Cost" queryTableFieldId="7"/>
    <tableColumn id="8" xr3:uid="{97F8F40C-CC15-4EB1-9302-B89FF452EDFA}" uniqueName="8" name="DC Stock Cost" queryTableFieldId="8"/>
    <tableColumn id="9" xr3:uid="{C554C6D8-0427-431A-A589-437BEE041BB9}" uniqueName="9" name="Retailer Safety Stock Cost" queryTableFieldId="9"/>
    <tableColumn id="10" xr3:uid="{7AA00344-CFE7-46CF-8140-13A8AD755FE4}" uniqueName="10" name="DC Safety Stock Cost" queryTableFieldId="10"/>
    <tableColumn id="11" xr3:uid="{08D7BA26-9EAD-472B-9736-371BFBBFBAB1}" uniqueName="11" name="Number of DCs" queryTableFieldId="11"/>
    <tableColumn id="12" xr3:uid="{5CF993AF-AC51-476D-9DA4-3809D298D840}" uniqueName="12" name="Number of DCs - Level 1" queryTableFieldId="12"/>
    <tableColumn id="13" xr3:uid="{09A3A729-9363-431E-AC59-522C0FF88BBA}" uniqueName="13" name="Number of DCs - Level 2" queryTableFieldId="13"/>
    <tableColumn id="14" xr3:uid="{7C71DB46-B26D-4F15-8B1E-850081325D73}" uniqueName="14" name="Number of DCs - Level 3" queryTableFieldId="14"/>
    <tableColumn id="20" xr3:uid="{262EBCF4-D38C-4845-90E3-F41B0DB40304}" uniqueName="20" name="Number of DCs - Level 4" queryTableFieldId="20"/>
    <tableColumn id="15" xr3:uid="{1E559F78-4803-48AF-B505-D75F5F2B728D}" uniqueName="15" name="Loading Rate" queryTableFieldId="15"/>
    <tableColumn id="16" xr3:uid="{EB1180DD-E544-4201-806A-8DE8DCF43B64}" uniqueName="16" name="Synergie" queryTableFieldId="16"/>
    <tableColumn id="17" xr3:uid="{4AE8ADEC-2C89-4879-BA41-E51D85F92AA8}" uniqueName="17" name="Tps RUN " queryTableFieldId="17"/>
    <tableColumn id="18" xr3:uid="{64B84B71-48A6-4C11-99D1-F2CE705C3DE6}" uniqueName="18" name="GAP" queryTableFieldId="18"/>
    <tableColumn id="19" xr3:uid="{613DDC34-C36F-493F-A683-699E00C163A9}" uniqueName="19" name="COOP vs SA " queryTableFieldId="1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C0DF73-FA28-440A-82F2-5595B48D32D3}" name="COOP" displayName="COOP" ref="A1:T21" tableType="queryTable" totalsRowShown="0">
  <autoFilter ref="A1:T21" xr:uid="{2AC0DF73-FA28-440A-82F2-5595B48D32D3}"/>
  <tableColumns count="20">
    <tableColumn id="1" xr3:uid="{AFFF85B6-60AE-4B4B-900A-13FC811D1722}" uniqueName="1" name="Map" queryTableFieldId="1"/>
    <tableColumn id="2" xr3:uid="{5875672E-F573-456C-88F8-DA00B140E4C0}" uniqueName="2" name="Cap (%)" queryTableFieldId="2"/>
    <tableColumn id="3" xr3:uid="{E398B726-038A-47E8-81AE-E16716933227}" uniqueName="3" name="Scenario" queryTableFieldId="3"/>
    <tableColumn id="4" xr3:uid="{9B48B115-F317-4D30-8DDB-2B02D6C25550}" uniqueName="4" name="Total Cost" queryTableFieldId="4"/>
    <tableColumn id="5" xr3:uid="{BFD3B9EC-B987-43A2-A8D8-4AB084B76D7A}" uniqueName="5" name="Opening Cost" queryTableFieldId="5"/>
    <tableColumn id="6" xr3:uid="{99177DC7-56B7-4E9B-A954-49251E3C4779}" uniqueName="6" name="Transportation Cost" queryTableFieldId="6"/>
    <tableColumn id="7" xr3:uid="{A079D326-5004-4BE5-B9D9-847BA3A9E215}" uniqueName="7" name="Retailer Stock Cost" queryTableFieldId="7"/>
    <tableColumn id="8" xr3:uid="{EF120309-44B3-47CD-9497-1F8771558C30}" uniqueName="8" name="DC Stock Cost" queryTableFieldId="8"/>
    <tableColumn id="9" xr3:uid="{BA2CA384-6910-4C8C-8408-B89E88E10018}" uniqueName="9" name="Retailer Safety Stock Cost" queryTableFieldId="9"/>
    <tableColumn id="10" xr3:uid="{5685306F-AD27-4540-A19D-EB25F4C52AE9}" uniqueName="10" name="DC Safety Stock Cost" queryTableFieldId="10"/>
    <tableColumn id="11" xr3:uid="{D3AFD9A6-AAA5-4E04-9327-B36ED74D063A}" uniqueName="11" name="Number of DCs" queryTableFieldId="11"/>
    <tableColumn id="12" xr3:uid="{091AF0E1-2951-4116-9718-5C9605B75A0B}" uniqueName="12" name="Number of DCs - Level 1" queryTableFieldId="12"/>
    <tableColumn id="13" xr3:uid="{D1027979-7FA0-46FD-A10C-D72E588BD835}" uniqueName="13" name="Number of DCs - Level 2" queryTableFieldId="13"/>
    <tableColumn id="14" xr3:uid="{C5804BAB-8ACF-4F26-B0B8-E7638704BC83}" uniqueName="14" name="Number of DCs - Level 3" queryTableFieldId="14"/>
    <tableColumn id="20" xr3:uid="{AFF83689-DC90-4B1A-8C04-4E896E1DD79B}" uniqueName="20" name="Number of DCs - Level 4" queryTableFieldId="20"/>
    <tableColumn id="15" xr3:uid="{6EDB5480-5EE5-4809-BA01-B55A7930AAEE}" uniqueName="15" name="Loading Rate" queryTableFieldId="15"/>
    <tableColumn id="16" xr3:uid="{02DBE6E1-2F18-440C-8A36-3B96433FE401}" uniqueName="16" name="Synergie" queryTableFieldId="16"/>
    <tableColumn id="17" xr3:uid="{6273F6A2-6C96-421E-BA09-EB3CC89824C3}" uniqueName="17" name="Tps RUN " queryTableFieldId="17"/>
    <tableColumn id="18" xr3:uid="{B1B98665-664C-424E-B3FE-9A5ADC2AE57E}" uniqueName="18" name="GAP" queryTableFieldId="18"/>
    <tableColumn id="19" xr3:uid="{683727F2-0663-444F-A47D-E5410164FC49}" uniqueName="19" name="COOP vs SA " queryTableFieldId="1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5C90E3-F439-4666-996B-A6BE407E657C}" name="Tableau1" displayName="Tableau1" ref="A3:S63" totalsRowShown="0" headerRowDxfId="3">
  <autoFilter ref="A3:S63" xr:uid="{EF5C90E3-F439-4666-996B-A6BE407E657C}"/>
  <tableColumns count="19">
    <tableColumn id="1" xr3:uid="{53B9A61E-995A-4600-91E7-CB3577328A0E}" name="Map"/>
    <tableColumn id="2" xr3:uid="{CB5E336A-92E0-4004-8C98-74E050D2E59B}" name="Cap (%)"/>
    <tableColumn id="3" xr3:uid="{B81A03D4-ABE8-4565-B5CC-522CDD0BCD2D}" name="Scenario"/>
    <tableColumn id="4" xr3:uid="{1E50147B-33C1-4842-99D8-15C4B61E3AE2}" name="Total Cost"/>
    <tableColumn id="5" xr3:uid="{911D2906-EC38-400D-9A80-D08D9F14044C}" name="Opening Cost"/>
    <tableColumn id="6" xr3:uid="{E07EA137-2FF6-40D5-A132-A1C1B12541EB}" name="Transportation Cost"/>
    <tableColumn id="7" xr3:uid="{E0565C58-5E6C-4C15-BDE3-F1387699EAE8}" name="Retailer Stock Cost"/>
    <tableColumn id="8" xr3:uid="{8DD3A2A5-01A7-459E-A25D-605A55BB8C0F}" name="DC Stock Cost"/>
    <tableColumn id="9" xr3:uid="{F89FD225-03FC-4AA9-A122-993CDC897C2D}" name="Retailer Safety Stock Cost"/>
    <tableColumn id="10" xr3:uid="{402C9FC4-42E1-4333-83EC-42F09D97569C}" name="DC Safety Stock Cost"/>
    <tableColumn id="11" xr3:uid="{3121D9CD-8C74-4CDA-A650-47D5488C3F5F}" name="Number of DCs"/>
    <tableColumn id="12" xr3:uid="{6D981179-C211-4D4F-9CD7-B5A2594A3EDE}" name="Number of DCs - Level 1"/>
    <tableColumn id="13" xr3:uid="{AD1104DE-332D-47BA-90A3-A7A833F5E74A}" name="Number of DCs - Level 2"/>
    <tableColumn id="14" xr3:uid="{F6E4B055-19ED-4902-AAF4-BC1152446D76}" name="Number of DCs - Level 3"/>
    <tableColumn id="20" xr3:uid="{685854DF-337C-453C-AD8D-A2A5F8804D0D}" name="Number of DCs - Level 4"/>
    <tableColumn id="15" xr3:uid="{CB61C200-2145-4294-8E5A-062CC65A513A}" name="Loading Rate"/>
    <tableColumn id="16" xr3:uid="{2FEE8880-3CE9-4842-9E3E-BAF3E36A78C1}" name="Synergie" dataDxfId="2">
      <calculatedColumnFormula>IF($C4=3,(SUMIFS($D:$D,$A:$A,$A4,$B:$B,$B4,$C:$C,1)+SUMIFS($D:$D,$A:$A,$A4,$B:$B,$B4,$C:$C,2)-$D4)/(SUMIFS($D:$D,$A:$A,$A4,$B:$B,$B4,$C:$C,1)+SUMIFS($D:$D,$A:$A,$A4,$B:$B,$B4,$C:$C,2)),"")</calculatedColumnFormula>
    </tableColumn>
    <tableColumn id="17" xr3:uid="{314CBB65-33B9-4068-AA91-BD34ED18A0AA}" name="Tps RUN "/>
    <tableColumn id="18" xr3:uid="{254B0BA4-091F-4456-8DC0-C22D6F4EEE1E}" name="GAP" dataCellStyle="Pourcenta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569806-0EB5-46C4-8A79-4AC2FBAC246D}" name="SA_5" displayName="SA_5" ref="A1:T41" tableType="queryTable" totalsRowShown="0">
  <autoFilter ref="A1:T41" xr:uid="{AF11F3C5-7E38-46C7-84A6-B8F956563DC4}"/>
  <tableColumns count="20">
    <tableColumn id="1" xr3:uid="{EBB9BCF3-8348-4C8F-BE99-A2517571AD4F}" uniqueName="1" name="Map" queryTableFieldId="1"/>
    <tableColumn id="2" xr3:uid="{4ADBBA39-EBC7-4E41-B2E1-A4E66C360A90}" uniqueName="2" name="Cap (%)" queryTableFieldId="2"/>
    <tableColumn id="3" xr3:uid="{8CB791E6-5AE0-478C-BC1A-913AD95C717C}" uniqueName="3" name="Scenario" queryTableFieldId="3"/>
    <tableColumn id="4" xr3:uid="{6B6225D5-7586-4295-AF4C-281A769BF207}" uniqueName="4" name="Total Cost" queryTableFieldId="4"/>
    <tableColumn id="5" xr3:uid="{D840902B-B9C0-42CB-A273-700617E7AF7C}" uniqueName="5" name="Opening Cost" queryTableFieldId="5"/>
    <tableColumn id="6" xr3:uid="{E18CF1EB-1210-4A46-A441-850B8991BE0A}" uniqueName="6" name="Transportation Cost" queryTableFieldId="6"/>
    <tableColumn id="7" xr3:uid="{E7222CEC-A2F7-406B-A0EF-BAB6E88DD572}" uniqueName="7" name="Retailer Stock Cost" queryTableFieldId="7"/>
    <tableColumn id="8" xr3:uid="{06921156-09EF-4AB4-A1FA-F72CA56E614A}" uniqueName="8" name="DC Stock Cost" queryTableFieldId="8"/>
    <tableColumn id="9" xr3:uid="{54ECE4C9-E996-4DCD-A3B2-8CB87FEF189E}" uniqueName="9" name="Retailer Safety Stock Cost" queryTableFieldId="9"/>
    <tableColumn id="10" xr3:uid="{5F5BB7D1-6A17-4AA8-98AE-4C851FEC981A}" uniqueName="10" name="DC Safety Stock Cost" queryTableFieldId="10"/>
    <tableColumn id="11" xr3:uid="{3F20521E-C485-4010-9424-EF579AD2B65B}" uniqueName="11" name="Number of DCs" queryTableFieldId="11"/>
    <tableColumn id="12" xr3:uid="{C78B6424-A885-4A14-94C6-F0FDA9376791}" uniqueName="12" name="Number of DCs - Level 1" queryTableFieldId="12"/>
    <tableColumn id="13" xr3:uid="{36DAA91A-2744-48DF-8DFE-9E468C2300EA}" uniqueName="13" name="Number of DCs - Level 2" queryTableFieldId="13"/>
    <tableColumn id="14" xr3:uid="{9F83B156-3071-4D90-A5E8-87AE12CB0CBC}" uniqueName="14" name="Number of DCs - Level 3" queryTableFieldId="14"/>
    <tableColumn id="20" xr3:uid="{440FEA15-BC5C-4F6F-8A5E-F21AEB24F734}" uniqueName="20" name="Number of DCs - Level 4" queryTableFieldId="20"/>
    <tableColumn id="15" xr3:uid="{37C8A86F-C27D-4E0B-AED6-698819476A96}" uniqueName="15" name="Loading Rate" queryTableFieldId="15"/>
    <tableColumn id="16" xr3:uid="{33AA911E-9009-4CA2-ABD9-110BEA9F8A45}" uniqueName="16" name="Synergie" queryTableFieldId="16"/>
    <tableColumn id="17" xr3:uid="{47A8C297-F4CF-4290-ABF6-5EDA1F662394}" uniqueName="17" name="Tps RUN " queryTableFieldId="17"/>
    <tableColumn id="18" xr3:uid="{82F32F91-3AE4-4484-ACFA-AFC147C38E74}" uniqueName="18" name="GAP" queryTableFieldId="18"/>
    <tableColumn id="19" xr3:uid="{CA34A792-73EE-4F63-9818-6E93C07347B2}" uniqueName="19" name="COOP vs SA " queryTableFieldId="19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86FF361-6996-4F2F-A53F-95A291CF0ADE}" name="COOP6" displayName="COOP6" ref="A1:T21" tableType="queryTable" totalsRowShown="0">
  <autoFilter ref="A1:T21" xr:uid="{2AC0DF73-FA28-440A-82F2-5595B48D32D3}"/>
  <tableColumns count="20">
    <tableColumn id="1" xr3:uid="{33570996-59B3-4D65-B240-CA9CC59ACFAA}" uniqueName="1" name="Map" queryTableFieldId="1"/>
    <tableColumn id="2" xr3:uid="{FF8357E1-FE8B-42BF-B7ED-98A022BADC8D}" uniqueName="2" name="Cap (%)" queryTableFieldId="2"/>
    <tableColumn id="3" xr3:uid="{D65BA521-F090-43D5-9738-B59EB4EC2FED}" uniqueName="3" name="Scenario" queryTableFieldId="3"/>
    <tableColumn id="4" xr3:uid="{2113A0C0-69D8-4353-8592-19A58BD7D386}" uniqueName="4" name="Total Cost" queryTableFieldId="4"/>
    <tableColumn id="5" xr3:uid="{F05AFC2D-2E39-4380-A82E-D2758DEAD3CB}" uniqueName="5" name="Opening Cost" queryTableFieldId="5"/>
    <tableColumn id="6" xr3:uid="{8E0695D6-B32A-4A97-AF21-C62FC62434A7}" uniqueName="6" name="Transportation Cost" queryTableFieldId="6"/>
    <tableColumn id="7" xr3:uid="{A0F4586E-B2EF-46A7-8391-1F6173FBD636}" uniqueName="7" name="Retailer Stock Cost" queryTableFieldId="7"/>
    <tableColumn id="8" xr3:uid="{014C8C57-3D3B-485C-99F8-88A43B4204F2}" uniqueName="8" name="DC Stock Cost" queryTableFieldId="8"/>
    <tableColumn id="9" xr3:uid="{02494914-C67D-4AE6-884B-0AE1D51B5336}" uniqueName="9" name="Retailer Safety Stock Cost" queryTableFieldId="9"/>
    <tableColumn id="10" xr3:uid="{0D1F1004-20FE-4665-A530-E2FBB72CDA26}" uniqueName="10" name="DC Safety Stock Cost" queryTableFieldId="10"/>
    <tableColumn id="11" xr3:uid="{A85F18E4-3151-40CB-8C42-786890BBA07C}" uniqueName="11" name="Number of DCs" queryTableFieldId="11"/>
    <tableColumn id="12" xr3:uid="{9CAAAF2B-1E05-4FFD-9AF4-ECCAC2766D97}" uniqueName="12" name="Number of DCs - Level 1" queryTableFieldId="12"/>
    <tableColumn id="13" xr3:uid="{989EE4C7-A40C-4BE6-B559-AF866100BEB4}" uniqueName="13" name="Number of DCs - Level 2" queryTableFieldId="13"/>
    <tableColumn id="14" xr3:uid="{0D90E058-F1F3-49BC-95FC-A451E92965BA}" uniqueName="14" name="Number of DCs - Level 3" queryTableFieldId="14"/>
    <tableColumn id="20" xr3:uid="{4AC7ABFE-AEA1-4B80-A711-4554180E2418}" uniqueName="20" name="Number of DCs - Level 4" queryTableFieldId="20"/>
    <tableColumn id="15" xr3:uid="{41220DD7-DB11-4A26-BD57-EC7F998FFA1F}" uniqueName="15" name="Loading Rate" queryTableFieldId="15"/>
    <tableColumn id="16" xr3:uid="{FA684A34-0196-43EA-A4C1-BEEBE5D7CEFD}" uniqueName="16" name="Synergie" queryTableFieldId="16"/>
    <tableColumn id="17" xr3:uid="{EABD2EEC-1333-43ED-A8DD-E8666FD2D6E6}" uniqueName="17" name="Tps RUN " queryTableFieldId="17"/>
    <tableColumn id="18" xr3:uid="{EF6CBE61-6E0C-4A42-869A-BBB83C228C0D}" uniqueName="18" name="GAP" queryTableFieldId="18"/>
    <tableColumn id="19" xr3:uid="{A4BFAEC6-EB35-4438-955F-7DF7542454DC}" uniqueName="19" name="COOP vs SA " queryTableFieldId="19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55521A-84F0-41C9-BDAB-2A37C8344AD5}" name="Tableau17" displayName="Tableau17" ref="A3:S63" totalsRowShown="0" headerRowDxfId="1">
  <autoFilter ref="A3:S63" xr:uid="{EF5C90E3-F439-4666-996B-A6BE407E657C}"/>
  <tableColumns count="19">
    <tableColumn id="1" xr3:uid="{B57234FF-430E-4F54-A304-C7548F250815}" name="Map"/>
    <tableColumn id="2" xr3:uid="{3966FA52-EBA6-458D-9673-92B9A5F5DB91}" name="Cap (%)"/>
    <tableColumn id="3" xr3:uid="{58C28B37-9942-4397-9898-9F1EC17449B8}" name="Scenario"/>
    <tableColumn id="4" xr3:uid="{9156C02F-C3C8-451B-995D-B9AC2FEA459B}" name="Total Cost"/>
    <tableColumn id="5" xr3:uid="{26CB7AA3-C0C2-4BCD-91A9-08F460F0240C}" name="Opening Cost"/>
    <tableColumn id="6" xr3:uid="{946AE164-5EE7-42CA-8888-16D97E7B88FE}" name="Transportation Cost"/>
    <tableColumn id="7" xr3:uid="{0E52E412-58FA-4BE4-A792-AC6E0D2F04C3}" name="Retailer Stock Cost"/>
    <tableColumn id="8" xr3:uid="{40B2B03C-B4F7-4CAC-84E1-3A3163F68DE5}" name="DC Stock Cost"/>
    <tableColumn id="9" xr3:uid="{BEAF0794-AE8C-4401-9628-13D7682203C2}" name="Retailer Safety Stock Cost"/>
    <tableColumn id="10" xr3:uid="{0B1B0955-CBE0-4B10-A812-7B89F1157187}" name="DC Safety Stock Cost"/>
    <tableColumn id="11" xr3:uid="{497E6A45-BC4A-4D9B-A2B9-5282AF649EB3}" name="Number of DCs"/>
    <tableColumn id="12" xr3:uid="{C83345B0-F39A-42A3-B304-B0DAAD4A7C1A}" name="Number of DCs - Level 1"/>
    <tableColumn id="13" xr3:uid="{39C1D1CC-6CDA-47B3-9922-67E9437A1ECB}" name="Number of DCs - Level 2"/>
    <tableColumn id="14" xr3:uid="{114E39B6-5026-4740-8119-17C5941998F8}" name="Number of DCs - Level 3"/>
    <tableColumn id="20" xr3:uid="{CE5DD6BA-1E16-4B06-9423-1CF028FD4097}" name="Number of DCs - Level 4"/>
    <tableColumn id="15" xr3:uid="{43A7B231-4C70-4F56-9FD3-27EA4ED2A0E5}" name="Loading Rate" dataCellStyle="Pourcentage"/>
    <tableColumn id="16" xr3:uid="{9008836B-764E-417E-A73A-1B5BF5D89AAC}" name="Synergie" dataDxfId="0">
      <calculatedColumnFormula>IF($C4=3,(SUMIFS($D:$D,$A:$A,$A4,$B:$B,$B4,$C:$C,1)+SUMIFS($D:$D,$A:$A,$A4,$B:$B,$B4,$C:$C,2)-$D4)/(SUMIFS($D:$D,$A:$A,$A4,$B:$B,$B4,$C:$C,1)+SUMIFS($D:$D,$A:$A,$A4,$B:$B,$B4,$C:$C,2)),"")</calculatedColumnFormula>
    </tableColumn>
    <tableColumn id="17" xr3:uid="{87A05623-72B5-48CA-9258-DB0D10F993CA}" name="Tps RUN "/>
    <tableColumn id="18" xr3:uid="{9957EEAE-D8E3-4973-8BBA-C6C196DE68F7}" name="GAP" dataCellStyle="Pourcent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59D43-4D1A-4367-971E-EBAFC4E22D1E}">
  <sheetPr>
    <tabColor rgb="FFFF0000"/>
  </sheetPr>
  <dimension ref="A1:T41"/>
  <sheetViews>
    <sheetView topLeftCell="J1" workbookViewId="0">
      <selection activeCell="K11" sqref="K11"/>
    </sheetView>
  </sheetViews>
  <sheetFormatPr baseColWidth="10" defaultColWidth="11.453125" defaultRowHeight="14.5" x14ac:dyDescent="0.35"/>
  <cols>
    <col min="1" max="1" width="6.6328125" bestFit="1" customWidth="1"/>
    <col min="2" max="2" width="9.6328125" bestFit="1" customWidth="1"/>
    <col min="3" max="3" width="10.453125" bestFit="1" customWidth="1"/>
    <col min="4" max="4" width="11.81640625" bestFit="1" customWidth="1"/>
    <col min="5" max="5" width="14.26953125" bestFit="1" customWidth="1"/>
    <col min="6" max="6" width="19.54296875" bestFit="1" customWidth="1"/>
    <col min="7" max="7" width="19" bestFit="1" customWidth="1"/>
    <col min="8" max="8" width="14.90625" bestFit="1" customWidth="1"/>
    <col min="9" max="9" width="24.7265625" bestFit="1" customWidth="1"/>
    <col min="10" max="10" width="20.6328125" bestFit="1" customWidth="1"/>
    <col min="11" max="11" width="15.6328125" bestFit="1" customWidth="1"/>
    <col min="12" max="15" width="22.81640625" bestFit="1" customWidth="1"/>
    <col min="16" max="16" width="13.81640625" bestFit="1" customWidth="1"/>
    <col min="17" max="17" width="10.26953125" bestFit="1" customWidth="1"/>
    <col min="18" max="18" width="10.453125" bestFit="1" customWidth="1"/>
    <col min="19" max="19" width="11.81640625" bestFit="1" customWidth="1"/>
    <col min="20" max="20" width="13.08984375" bestFit="1" customWidth="1"/>
  </cols>
  <sheetData>
    <row r="1" spans="1:20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42</v>
      </c>
      <c r="P1" t="s">
        <v>15</v>
      </c>
      <c r="Q1" t="s">
        <v>16</v>
      </c>
      <c r="R1" t="s">
        <v>17</v>
      </c>
      <c r="S1" t="s">
        <v>18</v>
      </c>
      <c r="T1" t="s">
        <v>36</v>
      </c>
    </row>
    <row r="2" spans="1:20" x14ac:dyDescent="0.35">
      <c r="A2">
        <v>1</v>
      </c>
      <c r="B2">
        <v>10</v>
      </c>
      <c r="C2">
        <v>1</v>
      </c>
      <c r="D2">
        <v>25447.36526573732</v>
      </c>
      <c r="E2">
        <v>8500</v>
      </c>
      <c r="F2">
        <v>7028.9378586456296</v>
      </c>
      <c r="G2">
        <v>5194.6142851175018</v>
      </c>
      <c r="H2">
        <v>2803.5327545585405</v>
      </c>
      <c r="I2">
        <v>635.74997921666272</v>
      </c>
      <c r="J2">
        <v>1284.5303881989933</v>
      </c>
      <c r="K2">
        <v>7</v>
      </c>
      <c r="L2">
        <v>4</v>
      </c>
      <c r="M2">
        <v>3</v>
      </c>
      <c r="N2">
        <v>0</v>
      </c>
      <c r="O2">
        <v>0</v>
      </c>
      <c r="P2">
        <v>0.74691901042554731</v>
      </c>
      <c r="R2">
        <v>902</v>
      </c>
      <c r="S2">
        <v>2.4636236726345316E-2</v>
      </c>
      <c r="T2" t="s">
        <v>26</v>
      </c>
    </row>
    <row r="3" spans="1:20" x14ac:dyDescent="0.35">
      <c r="A3">
        <v>1</v>
      </c>
      <c r="B3">
        <v>10</v>
      </c>
      <c r="C3">
        <v>2</v>
      </c>
      <c r="D3">
        <v>24608.07483636936</v>
      </c>
      <c r="E3">
        <v>8000</v>
      </c>
      <c r="F3">
        <v>6851.4753156571333</v>
      </c>
      <c r="G3">
        <v>5386.3637537595432</v>
      </c>
      <c r="H3">
        <v>2547.1453282937841</v>
      </c>
      <c r="I3">
        <v>635.74997921666295</v>
      </c>
      <c r="J3">
        <v>1187.3404594422802</v>
      </c>
      <c r="K3">
        <v>6</v>
      </c>
      <c r="L3">
        <v>2</v>
      </c>
      <c r="M3">
        <v>4</v>
      </c>
      <c r="N3">
        <v>0</v>
      </c>
      <c r="O3">
        <v>0</v>
      </c>
      <c r="P3">
        <v>0.7744901284155904</v>
      </c>
      <c r="R3">
        <v>291</v>
      </c>
      <c r="S3">
        <v>1.8455190389289864E-2</v>
      </c>
      <c r="T3" t="s">
        <v>26</v>
      </c>
    </row>
    <row r="4" spans="1:20" x14ac:dyDescent="0.35">
      <c r="A4">
        <v>1</v>
      </c>
      <c r="B4">
        <v>40</v>
      </c>
      <c r="C4">
        <v>1</v>
      </c>
      <c r="D4">
        <v>24858.124354261567</v>
      </c>
      <c r="E4">
        <v>7500</v>
      </c>
      <c r="F4">
        <v>6711.3919428724057</v>
      </c>
      <c r="G4">
        <v>6509.9747543665662</v>
      </c>
      <c r="H4">
        <v>2409.9306580799771</v>
      </c>
      <c r="I4">
        <v>635.74997921666306</v>
      </c>
      <c r="J4">
        <v>1091.0770197257825</v>
      </c>
      <c r="K4">
        <v>5</v>
      </c>
      <c r="L4">
        <v>0</v>
      </c>
      <c r="M4">
        <v>5</v>
      </c>
      <c r="N4">
        <v>0</v>
      </c>
      <c r="O4">
        <v>0</v>
      </c>
      <c r="P4">
        <v>0.57353834603900888</v>
      </c>
      <c r="R4">
        <v>475</v>
      </c>
      <c r="S4">
        <v>1.8466224369701766E-2</v>
      </c>
      <c r="T4" t="s">
        <v>26</v>
      </c>
    </row>
    <row r="5" spans="1:20" x14ac:dyDescent="0.35">
      <c r="A5">
        <v>1</v>
      </c>
      <c r="B5">
        <v>40</v>
      </c>
      <c r="C5">
        <v>2</v>
      </c>
      <c r="D5">
        <v>24302.478601371993</v>
      </c>
      <c r="E5">
        <v>8000</v>
      </c>
      <c r="F5">
        <v>5955.1931140573251</v>
      </c>
      <c r="G5">
        <v>5977.5298769966612</v>
      </c>
      <c r="H5">
        <v>2546.8144168210315</v>
      </c>
      <c r="I5">
        <v>635.74997921666284</v>
      </c>
      <c r="J5">
        <v>1187.1912142804799</v>
      </c>
      <c r="K5">
        <v>6</v>
      </c>
      <c r="L5">
        <v>2</v>
      </c>
      <c r="M5">
        <v>4</v>
      </c>
      <c r="N5">
        <v>0</v>
      </c>
      <c r="O5">
        <v>0</v>
      </c>
      <c r="P5">
        <v>0.52662916960651251</v>
      </c>
      <c r="R5">
        <v>550</v>
      </c>
      <c r="S5">
        <v>1.9482679457533809E-2</v>
      </c>
      <c r="T5" t="s">
        <v>26</v>
      </c>
    </row>
    <row r="6" spans="1:20" x14ac:dyDescent="0.35">
      <c r="A6">
        <v>1</v>
      </c>
      <c r="B6">
        <v>70</v>
      </c>
      <c r="C6">
        <v>1</v>
      </c>
      <c r="D6">
        <v>24827.869316088978</v>
      </c>
      <c r="E6">
        <v>7500</v>
      </c>
      <c r="F6">
        <v>6556.633959650293</v>
      </c>
      <c r="G6">
        <v>6632.7182419851206</v>
      </c>
      <c r="H6">
        <v>2410.3290084832456</v>
      </c>
      <c r="I6">
        <v>635.74997921666306</v>
      </c>
      <c r="J6">
        <v>1092.4381267536974</v>
      </c>
      <c r="K6">
        <v>5</v>
      </c>
      <c r="L6">
        <v>0</v>
      </c>
      <c r="M6">
        <v>5</v>
      </c>
      <c r="N6">
        <v>0</v>
      </c>
      <c r="O6">
        <v>0</v>
      </c>
      <c r="P6">
        <v>0.43470351138832919</v>
      </c>
      <c r="R6">
        <v>884</v>
      </c>
      <c r="S6">
        <v>1.8615191119265198E-2</v>
      </c>
      <c r="T6" t="s">
        <v>26</v>
      </c>
    </row>
    <row r="7" spans="1:20" x14ac:dyDescent="0.35">
      <c r="A7">
        <v>1</v>
      </c>
      <c r="B7">
        <v>70</v>
      </c>
      <c r="C7">
        <v>2</v>
      </c>
      <c r="D7">
        <v>24236.560337519921</v>
      </c>
      <c r="E7">
        <v>7500</v>
      </c>
      <c r="F7">
        <v>6143.86849748243</v>
      </c>
      <c r="G7">
        <v>6233.6298732158184</v>
      </c>
      <c r="H7">
        <v>2539.6807759189514</v>
      </c>
      <c r="I7">
        <v>635.74997921666306</v>
      </c>
      <c r="J7">
        <v>1183.6312116860825</v>
      </c>
      <c r="K7">
        <v>6</v>
      </c>
      <c r="L7">
        <v>3</v>
      </c>
      <c r="M7">
        <v>3</v>
      </c>
      <c r="N7">
        <v>0</v>
      </c>
      <c r="O7">
        <v>0</v>
      </c>
      <c r="P7">
        <v>0.408547551052174</v>
      </c>
      <c r="R7">
        <v>578</v>
      </c>
      <c r="S7">
        <v>1.7608254615304172E-2</v>
      </c>
      <c r="T7" t="s">
        <v>26</v>
      </c>
    </row>
    <row r="8" spans="1:20" x14ac:dyDescent="0.35">
      <c r="A8">
        <v>1</v>
      </c>
      <c r="B8">
        <v>100</v>
      </c>
      <c r="C8">
        <v>1</v>
      </c>
      <c r="D8">
        <v>24888.52012122142</v>
      </c>
      <c r="E8">
        <v>7250</v>
      </c>
      <c r="F8">
        <v>6759.3522243427897</v>
      </c>
      <c r="G8">
        <v>6838.2782535272627</v>
      </c>
      <c r="H8">
        <v>2336.3028356924697</v>
      </c>
      <c r="I8">
        <v>635.74997921666306</v>
      </c>
      <c r="J8">
        <v>1068.8368284421961</v>
      </c>
      <c r="K8">
        <v>5</v>
      </c>
      <c r="L8">
        <v>2</v>
      </c>
      <c r="M8">
        <v>2</v>
      </c>
      <c r="N8">
        <v>1</v>
      </c>
      <c r="O8">
        <v>0</v>
      </c>
      <c r="P8">
        <v>0.25642305692435713</v>
      </c>
      <c r="R8">
        <v>864</v>
      </c>
      <c r="S8">
        <v>1.9771970343353824E-2</v>
      </c>
      <c r="T8" t="s">
        <v>26</v>
      </c>
    </row>
    <row r="9" spans="1:20" x14ac:dyDescent="0.35">
      <c r="A9">
        <v>1</v>
      </c>
      <c r="B9">
        <v>100</v>
      </c>
      <c r="C9">
        <v>2</v>
      </c>
      <c r="D9">
        <v>24330.254721983791</v>
      </c>
      <c r="E9">
        <v>7500</v>
      </c>
      <c r="F9">
        <v>6195.323301250035</v>
      </c>
      <c r="G9">
        <v>6276.6167143707635</v>
      </c>
      <c r="H9">
        <v>2539.287068983348</v>
      </c>
      <c r="I9">
        <v>635.7499792166625</v>
      </c>
      <c r="J9">
        <v>1183.2776581629485</v>
      </c>
      <c r="K9">
        <v>6</v>
      </c>
      <c r="L9">
        <v>3</v>
      </c>
      <c r="M9">
        <v>3</v>
      </c>
      <c r="N9">
        <v>0</v>
      </c>
      <c r="O9">
        <v>0</v>
      </c>
      <c r="P9">
        <v>0.23536176583795532</v>
      </c>
      <c r="R9">
        <v>902</v>
      </c>
      <c r="S9">
        <v>2.2400606635946965E-2</v>
      </c>
      <c r="T9" t="s">
        <v>26</v>
      </c>
    </row>
    <row r="10" spans="1:20" x14ac:dyDescent="0.35">
      <c r="A10">
        <v>2</v>
      </c>
      <c r="B10">
        <v>10</v>
      </c>
      <c r="C10">
        <v>1</v>
      </c>
      <c r="D10">
        <v>24135.535063915089</v>
      </c>
      <c r="E10">
        <v>8500</v>
      </c>
      <c r="F10">
        <v>6514.5195811721105</v>
      </c>
      <c r="G10">
        <v>4955.8786752281367</v>
      </c>
      <c r="H10">
        <v>2737.0900619847289</v>
      </c>
      <c r="I10">
        <v>465.72808319977071</v>
      </c>
      <c r="J10">
        <v>962.31866233034157</v>
      </c>
      <c r="K10">
        <v>7</v>
      </c>
      <c r="L10">
        <v>4</v>
      </c>
      <c r="M10">
        <v>3</v>
      </c>
      <c r="N10">
        <v>0</v>
      </c>
      <c r="O10">
        <v>0</v>
      </c>
      <c r="P10">
        <v>0.729518156761229</v>
      </c>
      <c r="R10">
        <v>480</v>
      </c>
      <c r="S10">
        <v>1.5453838736662021E-2</v>
      </c>
      <c r="T10" t="s">
        <v>26</v>
      </c>
    </row>
    <row r="11" spans="1:20" x14ac:dyDescent="0.35">
      <c r="A11">
        <v>2</v>
      </c>
      <c r="B11">
        <v>10</v>
      </c>
      <c r="C11">
        <v>2</v>
      </c>
      <c r="D11">
        <v>23352.146427959295</v>
      </c>
      <c r="E11">
        <v>7500</v>
      </c>
      <c r="F11">
        <v>6880.9601471432006</v>
      </c>
      <c r="G11">
        <v>5188.1103130816082</v>
      </c>
      <c r="H11">
        <v>2445.6293353790093</v>
      </c>
      <c r="I11">
        <v>465.72808319977071</v>
      </c>
      <c r="J11">
        <v>871.71854915571873</v>
      </c>
      <c r="K11">
        <v>6</v>
      </c>
      <c r="L11">
        <v>3</v>
      </c>
      <c r="M11">
        <v>3</v>
      </c>
      <c r="N11">
        <v>0</v>
      </c>
      <c r="O11">
        <v>0</v>
      </c>
      <c r="P11">
        <v>0.76370325439796782</v>
      </c>
      <c r="R11">
        <v>902</v>
      </c>
      <c r="S11">
        <v>2.5087120813934997E-2</v>
      </c>
      <c r="T11" t="s">
        <v>26</v>
      </c>
    </row>
    <row r="12" spans="1:20" x14ac:dyDescent="0.35">
      <c r="A12">
        <v>2</v>
      </c>
      <c r="B12">
        <v>40</v>
      </c>
      <c r="C12">
        <v>1</v>
      </c>
      <c r="D12">
        <v>23638.788250550835</v>
      </c>
      <c r="E12">
        <v>7500</v>
      </c>
      <c r="F12">
        <v>6151.9831928366048</v>
      </c>
      <c r="G12">
        <v>6119.3790553663157</v>
      </c>
      <c r="H12">
        <v>2518.3383175321555</v>
      </c>
      <c r="I12">
        <v>465.72808319977082</v>
      </c>
      <c r="J12">
        <v>883.35960161618459</v>
      </c>
      <c r="K12">
        <v>6</v>
      </c>
      <c r="L12">
        <v>3</v>
      </c>
      <c r="M12">
        <v>3</v>
      </c>
      <c r="N12">
        <v>0</v>
      </c>
      <c r="O12">
        <v>0</v>
      </c>
      <c r="P12">
        <v>0.55706334302193716</v>
      </c>
      <c r="R12">
        <v>380</v>
      </c>
      <c r="S12">
        <v>1.5989824746060709E-2</v>
      </c>
      <c r="T12" t="s">
        <v>26</v>
      </c>
    </row>
    <row r="13" spans="1:20" x14ac:dyDescent="0.35">
      <c r="A13">
        <v>2</v>
      </c>
      <c r="B13">
        <v>40</v>
      </c>
      <c r="C13">
        <v>2</v>
      </c>
      <c r="D13">
        <v>23207.691031207876</v>
      </c>
      <c r="E13">
        <v>6750</v>
      </c>
      <c r="F13">
        <v>6623.6149096078398</v>
      </c>
      <c r="G13">
        <v>6400.1513794365101</v>
      </c>
      <c r="H13">
        <v>2174.915837627841</v>
      </c>
      <c r="I13">
        <v>465.72808319977071</v>
      </c>
      <c r="J13">
        <v>793.28082133594091</v>
      </c>
      <c r="K13">
        <v>5</v>
      </c>
      <c r="L13">
        <v>3</v>
      </c>
      <c r="M13">
        <v>1</v>
      </c>
      <c r="N13">
        <v>1</v>
      </c>
      <c r="O13">
        <v>0</v>
      </c>
      <c r="P13">
        <v>0.58262279408052475</v>
      </c>
      <c r="R13">
        <v>901</v>
      </c>
      <c r="S13">
        <v>3.1354956335490666E-2</v>
      </c>
      <c r="T13" t="s">
        <v>26</v>
      </c>
    </row>
    <row r="14" spans="1:20" x14ac:dyDescent="0.35">
      <c r="A14">
        <v>2</v>
      </c>
      <c r="B14">
        <v>70</v>
      </c>
      <c r="C14">
        <v>1</v>
      </c>
      <c r="D14">
        <v>23781.794017901862</v>
      </c>
      <c r="E14">
        <v>7000</v>
      </c>
      <c r="F14">
        <v>6556.9658343347637</v>
      </c>
      <c r="G14">
        <v>6633.4725402098375</v>
      </c>
      <c r="H14">
        <v>2316.3905009865312</v>
      </c>
      <c r="I14">
        <v>465.72808319977077</v>
      </c>
      <c r="J14">
        <v>809.23705917101529</v>
      </c>
      <c r="K14">
        <v>5</v>
      </c>
      <c r="L14">
        <v>1</v>
      </c>
      <c r="M14">
        <v>4</v>
      </c>
      <c r="N14">
        <v>0</v>
      </c>
      <c r="O14">
        <v>0</v>
      </c>
      <c r="P14">
        <v>0.45523823480339415</v>
      </c>
      <c r="R14">
        <v>902</v>
      </c>
      <c r="S14">
        <v>2.0678571852644496E-2</v>
      </c>
      <c r="T14" t="s">
        <v>26</v>
      </c>
    </row>
    <row r="15" spans="1:20" x14ac:dyDescent="0.35">
      <c r="A15">
        <v>2</v>
      </c>
      <c r="B15">
        <v>70</v>
      </c>
      <c r="C15">
        <v>2</v>
      </c>
      <c r="D15">
        <v>23187.08209382608</v>
      </c>
      <c r="E15">
        <v>6750</v>
      </c>
      <c r="F15">
        <v>6466.9851346909081</v>
      </c>
      <c r="G15">
        <v>6539.5470238426597</v>
      </c>
      <c r="H15">
        <v>2172.6407120692911</v>
      </c>
      <c r="I15">
        <v>465.72808319977071</v>
      </c>
      <c r="J15">
        <v>792.18114002329355</v>
      </c>
      <c r="K15">
        <v>5</v>
      </c>
      <c r="L15">
        <v>3</v>
      </c>
      <c r="M15">
        <v>1</v>
      </c>
      <c r="N15">
        <v>1</v>
      </c>
      <c r="O15">
        <v>0</v>
      </c>
      <c r="P15">
        <v>0.44879236712024567</v>
      </c>
      <c r="R15">
        <v>901</v>
      </c>
      <c r="S15">
        <v>3.1843260705568789E-2</v>
      </c>
      <c r="T15" t="s">
        <v>26</v>
      </c>
    </row>
    <row r="16" spans="1:20" x14ac:dyDescent="0.35">
      <c r="A16">
        <v>2</v>
      </c>
      <c r="B16">
        <v>100</v>
      </c>
      <c r="C16">
        <v>1</v>
      </c>
      <c r="D16">
        <v>23893.867899641871</v>
      </c>
      <c r="E16">
        <v>7000</v>
      </c>
      <c r="F16">
        <v>6613.2912040501997</v>
      </c>
      <c r="G16">
        <v>6682.4770065918074</v>
      </c>
      <c r="H16">
        <v>2322.4060385996709</v>
      </c>
      <c r="I16">
        <v>465.72808319977077</v>
      </c>
      <c r="J16">
        <v>809.96556720042463</v>
      </c>
      <c r="K16">
        <v>5</v>
      </c>
      <c r="L16">
        <v>1</v>
      </c>
      <c r="M16">
        <v>4</v>
      </c>
      <c r="N16">
        <v>0</v>
      </c>
      <c r="O16">
        <v>0</v>
      </c>
      <c r="P16">
        <v>0.2501620696943207</v>
      </c>
      <c r="R16">
        <v>901</v>
      </c>
      <c r="S16">
        <v>2.4878938956736769E-2</v>
      </c>
      <c r="T16" t="s">
        <v>26</v>
      </c>
    </row>
    <row r="17" spans="1:20" x14ac:dyDescent="0.35">
      <c r="A17">
        <v>2</v>
      </c>
      <c r="B17">
        <v>100</v>
      </c>
      <c r="C17">
        <v>2</v>
      </c>
      <c r="D17">
        <v>23186.448769821418</v>
      </c>
      <c r="E17">
        <v>6750</v>
      </c>
      <c r="F17">
        <v>6465.115869158195</v>
      </c>
      <c r="G17">
        <v>6533.0738843559748</v>
      </c>
      <c r="H17">
        <v>2178.4356986767475</v>
      </c>
      <c r="I17">
        <v>465.72808319977071</v>
      </c>
      <c r="J17">
        <v>794.0952344307027</v>
      </c>
      <c r="K17">
        <v>5</v>
      </c>
      <c r="L17">
        <v>3</v>
      </c>
      <c r="M17">
        <v>1</v>
      </c>
      <c r="N17">
        <v>1</v>
      </c>
      <c r="O17">
        <v>0</v>
      </c>
      <c r="P17">
        <v>0.24456908460205004</v>
      </c>
      <c r="R17">
        <v>901</v>
      </c>
      <c r="S17">
        <v>2.9932796940682307E-2</v>
      </c>
      <c r="T17" t="s">
        <v>26</v>
      </c>
    </row>
    <row r="18" spans="1:20" x14ac:dyDescent="0.35">
      <c r="A18">
        <v>3</v>
      </c>
      <c r="B18">
        <v>10</v>
      </c>
      <c r="C18">
        <v>1</v>
      </c>
      <c r="D18">
        <v>24884.373570807304</v>
      </c>
      <c r="E18">
        <v>7250</v>
      </c>
      <c r="F18">
        <v>8237.5659374101433</v>
      </c>
      <c r="G18">
        <v>5489.6401254146867</v>
      </c>
      <c r="H18">
        <v>2287.2256399037265</v>
      </c>
      <c r="I18">
        <v>582.49031106261248</v>
      </c>
      <c r="J18">
        <v>1037.4515570162107</v>
      </c>
      <c r="K18">
        <v>5</v>
      </c>
      <c r="L18">
        <v>2</v>
      </c>
      <c r="M18">
        <v>2</v>
      </c>
      <c r="N18">
        <v>1</v>
      </c>
      <c r="O18">
        <v>0</v>
      </c>
      <c r="P18">
        <v>0.82581308833723022</v>
      </c>
      <c r="R18">
        <v>901</v>
      </c>
      <c r="S18">
        <v>3.7924489744103437E-2</v>
      </c>
      <c r="T18" t="s">
        <v>26</v>
      </c>
    </row>
    <row r="19" spans="1:20" x14ac:dyDescent="0.35">
      <c r="A19">
        <v>3</v>
      </c>
      <c r="B19">
        <v>10</v>
      </c>
      <c r="C19">
        <v>2</v>
      </c>
      <c r="D19">
        <v>24774.416349583655</v>
      </c>
      <c r="E19">
        <v>7250</v>
      </c>
      <c r="F19">
        <v>8265.9559556576842</v>
      </c>
      <c r="G19">
        <v>5353.4189513050997</v>
      </c>
      <c r="H19">
        <v>2279.1173856936994</v>
      </c>
      <c r="I19">
        <v>582.49031106261259</v>
      </c>
      <c r="J19">
        <v>1043.4337458646455</v>
      </c>
      <c r="K19">
        <v>5</v>
      </c>
      <c r="L19">
        <v>2</v>
      </c>
      <c r="M19">
        <v>2</v>
      </c>
      <c r="N19">
        <v>1</v>
      </c>
      <c r="O19">
        <v>0</v>
      </c>
      <c r="P19">
        <v>0.80532117522118352</v>
      </c>
      <c r="R19">
        <v>904</v>
      </c>
      <c r="S19">
        <v>2.8257836524089017E-2</v>
      </c>
      <c r="T19" t="s">
        <v>26</v>
      </c>
    </row>
    <row r="20" spans="1:20" x14ac:dyDescent="0.35">
      <c r="A20">
        <v>3</v>
      </c>
      <c r="B20">
        <v>40</v>
      </c>
      <c r="C20">
        <v>1</v>
      </c>
      <c r="D20">
        <v>24028.859469386236</v>
      </c>
      <c r="E20">
        <v>7500</v>
      </c>
      <c r="F20">
        <v>6134.1772577671391</v>
      </c>
      <c r="G20">
        <v>6144.9652063037765</v>
      </c>
      <c r="H20">
        <v>2521.5564368668797</v>
      </c>
      <c r="I20">
        <v>582.49031106261236</v>
      </c>
      <c r="J20">
        <v>1145.6702573857388</v>
      </c>
      <c r="K20">
        <v>6</v>
      </c>
      <c r="L20">
        <v>3</v>
      </c>
      <c r="M20">
        <v>3</v>
      </c>
      <c r="N20">
        <v>0</v>
      </c>
      <c r="O20">
        <v>0</v>
      </c>
      <c r="P20">
        <v>0.57984197902960211</v>
      </c>
      <c r="R20">
        <v>901</v>
      </c>
      <c r="S20">
        <v>2.2719695976641838E-2</v>
      </c>
      <c r="T20" t="s">
        <v>26</v>
      </c>
    </row>
    <row r="21" spans="1:20" x14ac:dyDescent="0.35">
      <c r="A21">
        <v>3</v>
      </c>
      <c r="B21">
        <v>40</v>
      </c>
      <c r="C21">
        <v>2</v>
      </c>
      <c r="D21">
        <v>24280.963119552711</v>
      </c>
      <c r="E21">
        <v>6250</v>
      </c>
      <c r="F21">
        <v>7483.5806778973574</v>
      </c>
      <c r="G21">
        <v>7006.6828060887137</v>
      </c>
      <c r="H21">
        <v>2030.7636862764741</v>
      </c>
      <c r="I21">
        <v>582.49031106261259</v>
      </c>
      <c r="J21">
        <v>927.44563822752525</v>
      </c>
      <c r="K21">
        <v>4</v>
      </c>
      <c r="L21">
        <v>1</v>
      </c>
      <c r="M21">
        <v>2</v>
      </c>
      <c r="N21">
        <v>1</v>
      </c>
      <c r="O21">
        <v>0</v>
      </c>
      <c r="P21">
        <v>0.6611540811569443</v>
      </c>
      <c r="R21">
        <v>901</v>
      </c>
      <c r="S21">
        <v>3.1686709060955998E-2</v>
      </c>
      <c r="T21" t="s">
        <v>26</v>
      </c>
    </row>
    <row r="22" spans="1:20" x14ac:dyDescent="0.35">
      <c r="A22">
        <v>3</v>
      </c>
      <c r="B22">
        <v>70</v>
      </c>
      <c r="C22">
        <v>1</v>
      </c>
      <c r="D22">
        <v>24194.913495824221</v>
      </c>
      <c r="E22">
        <v>6250</v>
      </c>
      <c r="F22">
        <v>7198.566659681117</v>
      </c>
      <c r="G22">
        <v>7210.473074721378</v>
      </c>
      <c r="H22">
        <v>2030.7887529314403</v>
      </c>
      <c r="I22">
        <v>582.49031106261259</v>
      </c>
      <c r="J22">
        <v>922.5946974277266</v>
      </c>
      <c r="K22">
        <v>4</v>
      </c>
      <c r="L22">
        <v>1</v>
      </c>
      <c r="M22">
        <v>2</v>
      </c>
      <c r="N22">
        <v>1</v>
      </c>
      <c r="O22">
        <v>0</v>
      </c>
      <c r="P22">
        <v>0.50860606421706667</v>
      </c>
      <c r="R22">
        <v>902</v>
      </c>
      <c r="S22">
        <v>2.9527637592942791E-2</v>
      </c>
      <c r="T22" t="s">
        <v>26</v>
      </c>
    </row>
    <row r="23" spans="1:20" x14ac:dyDescent="0.35">
      <c r="A23">
        <v>3</v>
      </c>
      <c r="B23">
        <v>70</v>
      </c>
      <c r="C23">
        <v>2</v>
      </c>
      <c r="D23">
        <v>24047.607211314589</v>
      </c>
      <c r="E23">
        <v>6250</v>
      </c>
      <c r="F23">
        <v>7122.9375338455156</v>
      </c>
      <c r="G23">
        <v>7134.4560330586473</v>
      </c>
      <c r="H23">
        <v>2031.7475361416532</v>
      </c>
      <c r="I23">
        <v>582.49031106261259</v>
      </c>
      <c r="J23">
        <v>925.97579720616852</v>
      </c>
      <c r="K23">
        <v>4</v>
      </c>
      <c r="L23">
        <v>1</v>
      </c>
      <c r="M23">
        <v>2</v>
      </c>
      <c r="N23">
        <v>1</v>
      </c>
      <c r="O23">
        <v>0</v>
      </c>
      <c r="P23">
        <v>0.50324404039798454</v>
      </c>
      <c r="R23">
        <v>903</v>
      </c>
      <c r="S23">
        <v>2.3847108685527991E-2</v>
      </c>
      <c r="T23" t="s">
        <v>26</v>
      </c>
    </row>
    <row r="24" spans="1:20" x14ac:dyDescent="0.35">
      <c r="A24">
        <v>3</v>
      </c>
      <c r="B24">
        <v>100</v>
      </c>
      <c r="C24">
        <v>1</v>
      </c>
      <c r="D24">
        <v>24460.508945920272</v>
      </c>
      <c r="E24">
        <v>6250</v>
      </c>
      <c r="F24">
        <v>7316.080790979162</v>
      </c>
      <c r="G24">
        <v>7375.0630712344264</v>
      </c>
      <c r="H24">
        <v>2024.3985364198065</v>
      </c>
      <c r="I24">
        <v>582.49031106261259</v>
      </c>
      <c r="J24">
        <v>912.47623622426954</v>
      </c>
      <c r="K24">
        <v>4</v>
      </c>
      <c r="L24">
        <v>1</v>
      </c>
      <c r="M24">
        <v>2</v>
      </c>
      <c r="N24">
        <v>1</v>
      </c>
      <c r="O24">
        <v>0</v>
      </c>
      <c r="P24">
        <v>0.2832237819106192</v>
      </c>
      <c r="R24">
        <v>901</v>
      </c>
      <c r="S24">
        <v>3.923857608386E-2</v>
      </c>
      <c r="T24" t="s">
        <v>26</v>
      </c>
    </row>
    <row r="25" spans="1:20" x14ac:dyDescent="0.35">
      <c r="A25">
        <v>3</v>
      </c>
      <c r="B25">
        <v>100</v>
      </c>
      <c r="C25">
        <v>2</v>
      </c>
      <c r="D25">
        <v>24492.369025294185</v>
      </c>
      <c r="E25">
        <v>6750</v>
      </c>
      <c r="F25">
        <v>6920.9458441175466</v>
      </c>
      <c r="G25">
        <v>6991.7977507547639</v>
      </c>
      <c r="H25">
        <v>2234.4747732522569</v>
      </c>
      <c r="I25">
        <v>582.49031106261259</v>
      </c>
      <c r="J25">
        <v>1012.6603461070154</v>
      </c>
      <c r="K25">
        <v>5</v>
      </c>
      <c r="L25">
        <v>3</v>
      </c>
      <c r="M25">
        <v>1</v>
      </c>
      <c r="N25">
        <v>1</v>
      </c>
      <c r="O25">
        <v>0</v>
      </c>
      <c r="P25">
        <v>0.26850528357467662</v>
      </c>
      <c r="R25">
        <v>906</v>
      </c>
      <c r="S25">
        <v>4.1943736589557849E-2</v>
      </c>
      <c r="T25" t="s">
        <v>26</v>
      </c>
    </row>
    <row r="26" spans="1:20" x14ac:dyDescent="0.35">
      <c r="A26">
        <v>4</v>
      </c>
      <c r="B26">
        <v>10</v>
      </c>
      <c r="C26">
        <v>1</v>
      </c>
      <c r="D26">
        <v>24608.535613788714</v>
      </c>
      <c r="E26">
        <v>8000</v>
      </c>
      <c r="F26">
        <v>7044.4455151184002</v>
      </c>
      <c r="G26">
        <v>5220.9160737313387</v>
      </c>
      <c r="H26">
        <v>2578.736704471688</v>
      </c>
      <c r="I26">
        <v>606.80188980729213</v>
      </c>
      <c r="J26">
        <v>1157.6354306599628</v>
      </c>
      <c r="K26">
        <v>6</v>
      </c>
      <c r="L26">
        <v>2</v>
      </c>
      <c r="M26">
        <v>4</v>
      </c>
      <c r="N26">
        <v>0</v>
      </c>
      <c r="O26">
        <v>0</v>
      </c>
      <c r="P26">
        <v>0.79222563232951937</v>
      </c>
      <c r="R26">
        <v>905</v>
      </c>
      <c r="S26">
        <v>2.0915185437049812E-2</v>
      </c>
      <c r="T26" t="s">
        <v>26</v>
      </c>
    </row>
    <row r="27" spans="1:20" x14ac:dyDescent="0.35">
      <c r="A27">
        <v>4</v>
      </c>
      <c r="B27">
        <v>10</v>
      </c>
      <c r="C27">
        <v>2</v>
      </c>
      <c r="D27">
        <v>23905.222880543613</v>
      </c>
      <c r="E27">
        <v>8000</v>
      </c>
      <c r="F27">
        <v>6543.2605371461223</v>
      </c>
      <c r="G27">
        <v>4844.700937179382</v>
      </c>
      <c r="H27">
        <v>2667.6512649911733</v>
      </c>
      <c r="I27">
        <v>606.80188980729213</v>
      </c>
      <c r="J27">
        <v>1242.8082514197479</v>
      </c>
      <c r="K27">
        <v>7</v>
      </c>
      <c r="L27">
        <v>5</v>
      </c>
      <c r="M27">
        <v>2</v>
      </c>
      <c r="N27">
        <v>0</v>
      </c>
      <c r="O27">
        <v>0</v>
      </c>
      <c r="P27">
        <v>0.73513847171676527</v>
      </c>
      <c r="R27">
        <v>388</v>
      </c>
      <c r="S27">
        <v>1.676152304119452E-2</v>
      </c>
      <c r="T27" t="s">
        <v>26</v>
      </c>
    </row>
    <row r="28" spans="1:20" x14ac:dyDescent="0.35">
      <c r="A28">
        <v>4</v>
      </c>
      <c r="B28">
        <v>40</v>
      </c>
      <c r="C28">
        <v>1</v>
      </c>
      <c r="D28">
        <v>24162.078702299947</v>
      </c>
      <c r="E28">
        <v>6750</v>
      </c>
      <c r="F28">
        <v>6953.6013440689267</v>
      </c>
      <c r="G28">
        <v>6792.0270654999449</v>
      </c>
      <c r="H28">
        <v>2109.3127096446028</v>
      </c>
      <c r="I28">
        <v>606.80188980729235</v>
      </c>
      <c r="J28">
        <v>950.33569327922828</v>
      </c>
      <c r="K28">
        <v>4</v>
      </c>
      <c r="L28">
        <v>0</v>
      </c>
      <c r="M28">
        <v>3</v>
      </c>
      <c r="N28">
        <v>1</v>
      </c>
      <c r="O28">
        <v>0</v>
      </c>
      <c r="P28">
        <v>0.62250802925515203</v>
      </c>
      <c r="R28">
        <v>901</v>
      </c>
      <c r="S28">
        <v>2.1178762681130274E-2</v>
      </c>
      <c r="T28" t="s">
        <v>26</v>
      </c>
    </row>
    <row r="29" spans="1:20" x14ac:dyDescent="0.35">
      <c r="A29">
        <v>4</v>
      </c>
      <c r="B29">
        <v>40</v>
      </c>
      <c r="C29">
        <v>2</v>
      </c>
      <c r="D29">
        <v>23531.433388277652</v>
      </c>
      <c r="E29">
        <v>7000</v>
      </c>
      <c r="F29">
        <v>6335.8283761873327</v>
      </c>
      <c r="G29">
        <v>6253.3263131126005</v>
      </c>
      <c r="H29">
        <v>2273.4325035962725</v>
      </c>
      <c r="I29">
        <v>606.80188980729213</v>
      </c>
      <c r="J29">
        <v>1062.0443055740952</v>
      </c>
      <c r="K29">
        <v>5</v>
      </c>
      <c r="L29">
        <v>1</v>
      </c>
      <c r="M29">
        <v>4</v>
      </c>
      <c r="N29">
        <v>0</v>
      </c>
      <c r="O29">
        <v>0</v>
      </c>
      <c r="P29">
        <v>0.57313461827004286</v>
      </c>
      <c r="R29">
        <v>846</v>
      </c>
      <c r="S29">
        <v>1.9837838070494464E-2</v>
      </c>
      <c r="T29" t="s">
        <v>26</v>
      </c>
    </row>
    <row r="30" spans="1:20" x14ac:dyDescent="0.35">
      <c r="A30">
        <v>4</v>
      </c>
      <c r="B30">
        <v>70</v>
      </c>
      <c r="C30">
        <v>1</v>
      </c>
      <c r="D30">
        <v>24124.927289073476</v>
      </c>
      <c r="E30">
        <v>6750</v>
      </c>
      <c r="F30">
        <v>6818.5266097841068</v>
      </c>
      <c r="G30">
        <v>6886.147153546297</v>
      </c>
      <c r="H30">
        <v>2111.9851305678253</v>
      </c>
      <c r="I30">
        <v>606.80188980729235</v>
      </c>
      <c r="J30">
        <v>951.46650536798552</v>
      </c>
      <c r="K30">
        <v>4</v>
      </c>
      <c r="L30">
        <v>0</v>
      </c>
      <c r="M30">
        <v>3</v>
      </c>
      <c r="N30">
        <v>1</v>
      </c>
      <c r="O30">
        <v>0</v>
      </c>
      <c r="P30">
        <v>0.47206397084464879</v>
      </c>
      <c r="R30">
        <v>734</v>
      </c>
      <c r="S30">
        <v>1.9963618460650666E-2</v>
      </c>
      <c r="T30" t="s">
        <v>26</v>
      </c>
    </row>
    <row r="31" spans="1:20" x14ac:dyDescent="0.35">
      <c r="A31">
        <v>4</v>
      </c>
      <c r="B31">
        <v>70</v>
      </c>
      <c r="C31">
        <v>2</v>
      </c>
      <c r="D31">
        <v>23474.496111369866</v>
      </c>
      <c r="E31">
        <v>7000</v>
      </c>
      <c r="F31">
        <v>6234.038781137594</v>
      </c>
      <c r="G31">
        <v>6291.7356802849354</v>
      </c>
      <c r="H31">
        <v>2276.4657736283216</v>
      </c>
      <c r="I31">
        <v>606.80188980729213</v>
      </c>
      <c r="J31">
        <v>1065.4539865117749</v>
      </c>
      <c r="K31">
        <v>5</v>
      </c>
      <c r="L31">
        <v>1</v>
      </c>
      <c r="M31">
        <v>4</v>
      </c>
      <c r="N31">
        <v>0</v>
      </c>
      <c r="O31">
        <v>0</v>
      </c>
      <c r="P31">
        <v>0.43131546022955547</v>
      </c>
      <c r="R31">
        <v>523</v>
      </c>
      <c r="S31">
        <v>1.8478873464061945E-2</v>
      </c>
      <c r="T31" t="s">
        <v>26</v>
      </c>
    </row>
    <row r="32" spans="1:20" x14ac:dyDescent="0.35">
      <c r="A32">
        <v>4</v>
      </c>
      <c r="B32">
        <v>100</v>
      </c>
      <c r="C32">
        <v>1</v>
      </c>
      <c r="D32">
        <v>24208.40925216594</v>
      </c>
      <c r="E32">
        <v>6750</v>
      </c>
      <c r="F32">
        <v>6864.6700056582722</v>
      </c>
      <c r="G32">
        <v>6923.4865542617354</v>
      </c>
      <c r="H32">
        <v>2111.9848436067659</v>
      </c>
      <c r="I32">
        <v>606.80188980729201</v>
      </c>
      <c r="J32">
        <v>951.46595883182522</v>
      </c>
      <c r="K32">
        <v>4</v>
      </c>
      <c r="L32">
        <v>0</v>
      </c>
      <c r="M32">
        <v>3</v>
      </c>
      <c r="N32">
        <v>1</v>
      </c>
      <c r="O32">
        <v>0</v>
      </c>
      <c r="P32">
        <v>0.26213431929137954</v>
      </c>
      <c r="R32">
        <v>902</v>
      </c>
      <c r="S32">
        <v>2.5498409323384413E-2</v>
      </c>
      <c r="T32" t="s">
        <v>26</v>
      </c>
    </row>
    <row r="33" spans="1:20" x14ac:dyDescent="0.35">
      <c r="A33">
        <v>4</v>
      </c>
      <c r="B33">
        <v>100</v>
      </c>
      <c r="C33">
        <v>2</v>
      </c>
      <c r="D33">
        <v>23470.447722827434</v>
      </c>
      <c r="E33">
        <v>7000</v>
      </c>
      <c r="F33">
        <v>6224.5126063449525</v>
      </c>
      <c r="G33">
        <v>6289.9096254833503</v>
      </c>
      <c r="H33">
        <v>2281.7091445415867</v>
      </c>
      <c r="I33">
        <v>606.80188980729224</v>
      </c>
      <c r="J33">
        <v>1067.5144566502488</v>
      </c>
      <c r="K33">
        <v>5</v>
      </c>
      <c r="L33">
        <v>1</v>
      </c>
      <c r="M33">
        <v>4</v>
      </c>
      <c r="N33">
        <v>0</v>
      </c>
      <c r="O33">
        <v>0</v>
      </c>
      <c r="P33">
        <v>0.23814607931396334</v>
      </c>
      <c r="R33">
        <v>638</v>
      </c>
      <c r="S33">
        <v>1.9470244096999476E-2</v>
      </c>
      <c r="T33" t="s">
        <v>26</v>
      </c>
    </row>
    <row r="34" spans="1:20" x14ac:dyDescent="0.35">
      <c r="A34">
        <v>5</v>
      </c>
      <c r="B34">
        <v>10</v>
      </c>
      <c r="C34">
        <v>1</v>
      </c>
      <c r="D34">
        <v>25131.91411075892</v>
      </c>
      <c r="E34">
        <v>8000</v>
      </c>
      <c r="F34">
        <v>7456.3370455893964</v>
      </c>
      <c r="G34">
        <v>5306.5326817981659</v>
      </c>
      <c r="H34">
        <v>2575.5652883332032</v>
      </c>
      <c r="I34">
        <v>613.87430120531883</v>
      </c>
      <c r="J34">
        <v>1179.6047938327501</v>
      </c>
      <c r="K34">
        <v>6</v>
      </c>
      <c r="L34">
        <v>2</v>
      </c>
      <c r="M34">
        <v>4</v>
      </c>
      <c r="N34">
        <v>0</v>
      </c>
      <c r="O34">
        <v>0</v>
      </c>
      <c r="P34">
        <v>0.76515694482699415</v>
      </c>
      <c r="R34">
        <v>901</v>
      </c>
      <c r="S34">
        <v>2.152346012109816E-2</v>
      </c>
      <c r="T34" t="s">
        <v>26</v>
      </c>
    </row>
    <row r="35" spans="1:20" x14ac:dyDescent="0.35">
      <c r="A35">
        <v>5</v>
      </c>
      <c r="B35">
        <v>10</v>
      </c>
      <c r="C35">
        <v>2</v>
      </c>
      <c r="D35">
        <v>25718.813430904964</v>
      </c>
      <c r="E35">
        <v>8250</v>
      </c>
      <c r="F35">
        <v>7721.5779122448912</v>
      </c>
      <c r="G35">
        <v>5417.3012115990741</v>
      </c>
      <c r="H35">
        <v>2537.4428933231948</v>
      </c>
      <c r="I35">
        <v>613.87430120531906</v>
      </c>
      <c r="J35">
        <v>1178.617112532537</v>
      </c>
      <c r="K35">
        <v>6</v>
      </c>
      <c r="L35">
        <v>3</v>
      </c>
      <c r="M35">
        <v>2</v>
      </c>
      <c r="N35">
        <v>1</v>
      </c>
      <c r="O35">
        <v>0</v>
      </c>
      <c r="P35">
        <v>0.78112882607746836</v>
      </c>
      <c r="R35">
        <v>901</v>
      </c>
      <c r="S35">
        <v>4.6353210394640652E-2</v>
      </c>
      <c r="T35" t="s">
        <v>26</v>
      </c>
    </row>
    <row r="36" spans="1:20" x14ac:dyDescent="0.35">
      <c r="A36">
        <v>5</v>
      </c>
      <c r="B36">
        <v>40</v>
      </c>
      <c r="C36">
        <v>1</v>
      </c>
      <c r="D36">
        <v>24748.353201274211</v>
      </c>
      <c r="E36">
        <v>7250</v>
      </c>
      <c r="F36">
        <v>6906.2567247283905</v>
      </c>
      <c r="G36">
        <v>6625.7426465559683</v>
      </c>
      <c r="H36">
        <v>2299.6743480950408</v>
      </c>
      <c r="I36">
        <v>613.87430120531883</v>
      </c>
      <c r="J36">
        <v>1052.8051806894969</v>
      </c>
      <c r="K36">
        <v>5</v>
      </c>
      <c r="L36">
        <v>2</v>
      </c>
      <c r="M36">
        <v>2</v>
      </c>
      <c r="N36">
        <v>1</v>
      </c>
      <c r="O36">
        <v>0</v>
      </c>
      <c r="P36">
        <v>0.60526703277816496</v>
      </c>
      <c r="R36">
        <v>902</v>
      </c>
      <c r="S36">
        <v>2.5863261150387964E-2</v>
      </c>
      <c r="T36" t="s">
        <v>26</v>
      </c>
    </row>
    <row r="37" spans="1:20" x14ac:dyDescent="0.35">
      <c r="A37">
        <v>5</v>
      </c>
      <c r="B37">
        <v>40</v>
      </c>
      <c r="C37">
        <v>2</v>
      </c>
      <c r="D37">
        <v>25676.233135776121</v>
      </c>
      <c r="E37">
        <v>7500</v>
      </c>
      <c r="F37">
        <v>7338.7380555131176</v>
      </c>
      <c r="G37">
        <v>6916.4663761149677</v>
      </c>
      <c r="H37">
        <v>2263.5829026847755</v>
      </c>
      <c r="I37">
        <v>613.87430120531917</v>
      </c>
      <c r="J37">
        <v>1043.5715002579752</v>
      </c>
      <c r="K37">
        <v>5</v>
      </c>
      <c r="L37">
        <v>3</v>
      </c>
      <c r="M37">
        <v>0</v>
      </c>
      <c r="N37">
        <v>2</v>
      </c>
      <c r="O37">
        <v>0</v>
      </c>
      <c r="P37">
        <v>0.63182488425762784</v>
      </c>
      <c r="R37">
        <v>901</v>
      </c>
      <c r="S37">
        <v>6.3232676478777339E-2</v>
      </c>
      <c r="T37" t="s">
        <v>26</v>
      </c>
    </row>
    <row r="38" spans="1:20" x14ac:dyDescent="0.35">
      <c r="A38">
        <v>5</v>
      </c>
      <c r="B38">
        <v>70</v>
      </c>
      <c r="C38">
        <v>1</v>
      </c>
      <c r="D38">
        <v>24777.407407262192</v>
      </c>
      <c r="E38">
        <v>7250</v>
      </c>
      <c r="F38">
        <v>6730.8293141857494</v>
      </c>
      <c r="G38">
        <v>6802.9737028144791</v>
      </c>
      <c r="H38">
        <v>2314.2681607754148</v>
      </c>
      <c r="I38">
        <v>613.87430120531883</v>
      </c>
      <c r="J38">
        <v>1065.4619282811577</v>
      </c>
      <c r="K38">
        <v>5</v>
      </c>
      <c r="L38">
        <v>2</v>
      </c>
      <c r="M38">
        <v>2</v>
      </c>
      <c r="N38">
        <v>1</v>
      </c>
      <c r="O38">
        <v>0</v>
      </c>
      <c r="P38">
        <v>0.46356321838968723</v>
      </c>
      <c r="R38">
        <v>904</v>
      </c>
      <c r="S38">
        <v>2.8745675915499608E-2</v>
      </c>
      <c r="T38" t="s">
        <v>26</v>
      </c>
    </row>
    <row r="39" spans="1:20" x14ac:dyDescent="0.35">
      <c r="A39">
        <v>5</v>
      </c>
      <c r="B39">
        <v>70</v>
      </c>
      <c r="C39">
        <v>2</v>
      </c>
      <c r="D39">
        <v>24704.577079951574</v>
      </c>
      <c r="E39">
        <v>6250</v>
      </c>
      <c r="F39">
        <v>7399.457368692234</v>
      </c>
      <c r="G39">
        <v>7448.4353342115955</v>
      </c>
      <c r="H39">
        <v>2043.9398573417175</v>
      </c>
      <c r="I39">
        <v>613.87430120531894</v>
      </c>
      <c r="J39">
        <v>948.87021850067981</v>
      </c>
      <c r="K39">
        <v>4</v>
      </c>
      <c r="L39">
        <v>1</v>
      </c>
      <c r="M39">
        <v>2</v>
      </c>
      <c r="N39">
        <v>1</v>
      </c>
      <c r="O39">
        <v>0</v>
      </c>
      <c r="P39">
        <v>0.50754578899314517</v>
      </c>
      <c r="R39">
        <v>901</v>
      </c>
      <c r="S39">
        <v>2.6482197563691783E-2</v>
      </c>
      <c r="T39" t="s">
        <v>26</v>
      </c>
    </row>
    <row r="40" spans="1:20" x14ac:dyDescent="0.35">
      <c r="A40">
        <v>5</v>
      </c>
      <c r="B40">
        <v>100</v>
      </c>
      <c r="C40">
        <v>1</v>
      </c>
      <c r="D40">
        <v>25116.689574991502</v>
      </c>
      <c r="E40">
        <v>7750</v>
      </c>
      <c r="F40">
        <v>6619.0441344270275</v>
      </c>
      <c r="G40">
        <v>6695.8502445951772</v>
      </c>
      <c r="H40">
        <v>2354.9815651165754</v>
      </c>
      <c r="I40">
        <v>613.87430120531883</v>
      </c>
      <c r="J40">
        <v>1082.9393296474282</v>
      </c>
      <c r="K40">
        <v>5</v>
      </c>
      <c r="L40">
        <v>1</v>
      </c>
      <c r="M40">
        <v>3</v>
      </c>
      <c r="N40">
        <v>1</v>
      </c>
      <c r="O40">
        <v>0</v>
      </c>
      <c r="P40">
        <v>0.27013859384186306</v>
      </c>
      <c r="R40">
        <v>902</v>
      </c>
      <c r="S40">
        <v>4.1477553014288356E-2</v>
      </c>
      <c r="T40" t="s">
        <v>26</v>
      </c>
    </row>
    <row r="41" spans="1:20" x14ac:dyDescent="0.35">
      <c r="A41">
        <v>5</v>
      </c>
      <c r="B41">
        <v>100</v>
      </c>
      <c r="C41">
        <v>2</v>
      </c>
      <c r="D41">
        <v>25661.632471391291</v>
      </c>
      <c r="E41">
        <v>8000</v>
      </c>
      <c r="F41">
        <v>6798.1462824314494</v>
      </c>
      <c r="G41">
        <v>6871.4245293903077</v>
      </c>
      <c r="H41">
        <v>2302.9838676013205</v>
      </c>
      <c r="I41">
        <v>613.87430120531906</v>
      </c>
      <c r="J41">
        <v>1075.2034907629152</v>
      </c>
      <c r="K41">
        <v>5</v>
      </c>
      <c r="L41">
        <v>2</v>
      </c>
      <c r="M41">
        <v>1</v>
      </c>
      <c r="N41">
        <v>2</v>
      </c>
      <c r="O41">
        <v>0</v>
      </c>
      <c r="P41">
        <v>0.27722199455675089</v>
      </c>
      <c r="R41">
        <v>901</v>
      </c>
      <c r="S41">
        <v>6.3959994192135106E-2</v>
      </c>
      <c r="T41" t="s">
        <v>26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4B58-FD5B-4949-B562-B7B51844A214}">
  <sheetPr>
    <tabColor rgb="FFFF0000"/>
  </sheetPr>
  <dimension ref="A1:AE21"/>
  <sheetViews>
    <sheetView topLeftCell="R2" workbookViewId="0">
      <selection activeCell="AD9" sqref="AD9"/>
    </sheetView>
  </sheetViews>
  <sheetFormatPr baseColWidth="10" defaultColWidth="11.453125" defaultRowHeight="14.5" x14ac:dyDescent="0.35"/>
  <cols>
    <col min="1" max="1" width="6.6328125" bestFit="1" customWidth="1"/>
    <col min="2" max="2" width="9.6328125" bestFit="1" customWidth="1"/>
    <col min="3" max="3" width="10.453125" bestFit="1" customWidth="1"/>
    <col min="4" max="4" width="11.81640625" bestFit="1" customWidth="1"/>
    <col min="5" max="5" width="14.26953125" bestFit="1" customWidth="1"/>
    <col min="6" max="6" width="19.54296875" bestFit="1" customWidth="1"/>
    <col min="7" max="7" width="19" bestFit="1" customWidth="1"/>
    <col min="8" max="8" width="14.90625" bestFit="1" customWidth="1"/>
    <col min="9" max="9" width="24.7265625" bestFit="1" customWidth="1"/>
    <col min="10" max="10" width="20.6328125" bestFit="1" customWidth="1"/>
    <col min="11" max="11" width="15.6328125" bestFit="1" customWidth="1"/>
    <col min="12" max="15" width="22.81640625" bestFit="1" customWidth="1"/>
    <col min="16" max="16" width="13.81640625" bestFit="1" customWidth="1"/>
    <col min="17" max="17" width="11.81640625" bestFit="1" customWidth="1"/>
    <col min="18" max="18" width="10.453125" bestFit="1" customWidth="1"/>
    <col min="19" max="19" width="11.81640625" bestFit="1" customWidth="1"/>
    <col min="20" max="20" width="13.08984375" bestFit="1" customWidth="1"/>
    <col min="23" max="23" width="34.6328125" bestFit="1" customWidth="1"/>
  </cols>
  <sheetData>
    <row r="1" spans="1:31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42</v>
      </c>
      <c r="P1" t="s">
        <v>15</v>
      </c>
      <c r="Q1" t="s">
        <v>16</v>
      </c>
      <c r="R1" t="s">
        <v>17</v>
      </c>
      <c r="S1" t="s">
        <v>18</v>
      </c>
      <c r="T1" t="s">
        <v>36</v>
      </c>
    </row>
    <row r="2" spans="1:31" x14ac:dyDescent="0.35">
      <c r="A2">
        <v>1</v>
      </c>
      <c r="B2">
        <v>10</v>
      </c>
      <c r="C2">
        <v>3</v>
      </c>
      <c r="D2">
        <v>38397.632278026329</v>
      </c>
      <c r="E2">
        <v>14000</v>
      </c>
      <c r="F2">
        <v>10417.72610054</v>
      </c>
      <c r="G2">
        <v>5731.8957609048575</v>
      </c>
      <c r="H2">
        <v>6192.1913690672718</v>
      </c>
      <c r="I2">
        <v>635.74997921666284</v>
      </c>
      <c r="J2">
        <v>1420.0690682975671</v>
      </c>
      <c r="K2">
        <v>9</v>
      </c>
      <c r="L2">
        <v>2</v>
      </c>
      <c r="M2">
        <v>5</v>
      </c>
      <c r="N2">
        <v>2</v>
      </c>
      <c r="O2">
        <v>0</v>
      </c>
      <c r="P2">
        <v>0.82417320605751265</v>
      </c>
      <c r="Q2">
        <v>0.23289791879363997</v>
      </c>
      <c r="R2">
        <v>910</v>
      </c>
      <c r="S2">
        <v>2.0241320158914805E-2</v>
      </c>
      <c r="T2" t="s">
        <v>27</v>
      </c>
    </row>
    <row r="3" spans="1:31" ht="17.5" x14ac:dyDescent="0.35">
      <c r="A3">
        <v>1</v>
      </c>
      <c r="B3">
        <v>40</v>
      </c>
      <c r="C3">
        <v>3</v>
      </c>
      <c r="D3">
        <v>36595.62111462919</v>
      </c>
      <c r="E3">
        <v>12000</v>
      </c>
      <c r="F3">
        <v>9423.6822567404342</v>
      </c>
      <c r="G3">
        <v>8201.3769535986648</v>
      </c>
      <c r="H3">
        <v>5149.8667484888529</v>
      </c>
      <c r="I3">
        <v>635.74997921666306</v>
      </c>
      <c r="J3">
        <v>1184.9451765846065</v>
      </c>
      <c r="K3">
        <v>6</v>
      </c>
      <c r="L3">
        <v>0</v>
      </c>
      <c r="M3">
        <v>2</v>
      </c>
      <c r="N3">
        <v>4</v>
      </c>
      <c r="O3">
        <v>0</v>
      </c>
      <c r="P3">
        <v>0.7225533662867657</v>
      </c>
      <c r="Q3">
        <v>0.25559047459902001</v>
      </c>
      <c r="R3">
        <v>908</v>
      </c>
      <c r="S3">
        <v>2.270452723063594E-2</v>
      </c>
      <c r="T3" t="s">
        <v>27</v>
      </c>
      <c r="W3" s="18" t="s">
        <v>37</v>
      </c>
      <c r="X3" s="19"/>
      <c r="Y3" s="19"/>
      <c r="Z3" s="19"/>
      <c r="AA3" s="19"/>
      <c r="AB3" s="20" t="s">
        <v>38</v>
      </c>
    </row>
    <row r="4" spans="1:31" ht="17.5" x14ac:dyDescent="0.35">
      <c r="A4">
        <v>1</v>
      </c>
      <c r="B4">
        <v>70</v>
      </c>
      <c r="C4">
        <v>3</v>
      </c>
      <c r="D4">
        <v>36568.648591401288</v>
      </c>
      <c r="E4">
        <v>11625</v>
      </c>
      <c r="F4">
        <v>9268.7279115907422</v>
      </c>
      <c r="G4">
        <v>8885.3683605064489</v>
      </c>
      <c r="H4">
        <v>4998.8586082676511</v>
      </c>
      <c r="I4">
        <v>635.74997921666284</v>
      </c>
      <c r="J4">
        <v>1154.9437318194136</v>
      </c>
      <c r="K4">
        <v>6</v>
      </c>
      <c r="L4">
        <v>0</v>
      </c>
      <c r="M4">
        <v>4</v>
      </c>
      <c r="N4">
        <v>1</v>
      </c>
      <c r="O4">
        <v>1</v>
      </c>
      <c r="P4">
        <v>0.58234055561734499</v>
      </c>
      <c r="Q4">
        <v>0.25468106223646869</v>
      </c>
      <c r="R4">
        <v>904</v>
      </c>
      <c r="S4">
        <v>2.9103491976914544E-2</v>
      </c>
      <c r="T4" t="s">
        <v>27</v>
      </c>
      <c r="W4" s="21"/>
      <c r="X4" s="22">
        <v>10</v>
      </c>
      <c r="Y4" s="22">
        <v>40</v>
      </c>
      <c r="Z4" s="22">
        <v>70</v>
      </c>
      <c r="AA4" s="22">
        <v>100</v>
      </c>
      <c r="AB4" s="23" t="s">
        <v>39</v>
      </c>
    </row>
    <row r="5" spans="1:31" ht="15.5" x14ac:dyDescent="0.35">
      <c r="A5">
        <v>1</v>
      </c>
      <c r="B5">
        <v>100</v>
      </c>
      <c r="C5">
        <v>3</v>
      </c>
      <c r="D5">
        <v>36751.563827517697</v>
      </c>
      <c r="E5">
        <v>11625</v>
      </c>
      <c r="F5">
        <v>9131.1898748932199</v>
      </c>
      <c r="G5">
        <v>9256.5635749806243</v>
      </c>
      <c r="H5">
        <v>4957.7772268748804</v>
      </c>
      <c r="I5">
        <v>635.74997921666284</v>
      </c>
      <c r="J5">
        <v>1145.2831715527896</v>
      </c>
      <c r="K5">
        <v>6</v>
      </c>
      <c r="L5">
        <v>0</v>
      </c>
      <c r="M5">
        <v>4</v>
      </c>
      <c r="N5">
        <v>1</v>
      </c>
      <c r="O5">
        <v>1</v>
      </c>
      <c r="P5">
        <v>0.34710437927659038</v>
      </c>
      <c r="Q5">
        <v>0.25330193722627059</v>
      </c>
      <c r="R5">
        <v>903</v>
      </c>
      <c r="S5">
        <v>3.4929007202427545E-2</v>
      </c>
      <c r="T5" t="s">
        <v>27</v>
      </c>
      <c r="W5" s="31" t="s">
        <v>16</v>
      </c>
      <c r="X5" s="32">
        <f>AVERAGEIF(COOP[[#All],[Cap (%)]],10,COOP[[#All],[Synergie]])</f>
        <v>0.22383277826808229</v>
      </c>
      <c r="Y5" s="32">
        <f>AVERAGEIF(COOP[[#All],[Cap (%)]],40,COOP[[#All],[Synergie]])</f>
        <v>0.25092454069188308</v>
      </c>
      <c r="Z5" s="32">
        <f>AVERAGEIF(COOP[[#All],[Cap (%)]],70,COOP[[#All],[Synergie]])</f>
        <v>0.25778023475824974</v>
      </c>
      <c r="AA5" s="32">
        <f>AVERAGEIF(COOP[[#All],[Cap (%)]],100,COOP[[#All],[Synergie]])</f>
        <v>0.26449078648462798</v>
      </c>
      <c r="AB5" s="33">
        <f>AVERAGE(X5:AA5)</f>
        <v>0.24925708505071076</v>
      </c>
    </row>
    <row r="6" spans="1:31" ht="15.5" x14ac:dyDescent="0.35">
      <c r="A6">
        <v>2</v>
      </c>
      <c r="B6">
        <v>10</v>
      </c>
      <c r="C6">
        <v>3</v>
      </c>
      <c r="D6">
        <v>37221.537508146459</v>
      </c>
      <c r="E6">
        <v>12500</v>
      </c>
      <c r="F6">
        <v>12001.343691948647</v>
      </c>
      <c r="G6">
        <v>5611.7399202825573</v>
      </c>
      <c r="H6">
        <v>5650.0845321331635</v>
      </c>
      <c r="I6">
        <v>465.72808319977082</v>
      </c>
      <c r="J6">
        <v>992.64128058224117</v>
      </c>
      <c r="K6">
        <v>8</v>
      </c>
      <c r="L6">
        <v>2</v>
      </c>
      <c r="M6">
        <v>4</v>
      </c>
      <c r="N6">
        <v>2</v>
      </c>
      <c r="O6">
        <v>0</v>
      </c>
      <c r="P6">
        <v>0.82606262807260555</v>
      </c>
      <c r="Q6">
        <v>0.21618541190486557</v>
      </c>
      <c r="R6">
        <v>909</v>
      </c>
      <c r="S6">
        <v>3.6735668983783817E-2</v>
      </c>
      <c r="T6" t="s">
        <v>27</v>
      </c>
      <c r="W6" s="25" t="s">
        <v>40</v>
      </c>
      <c r="X6" s="41">
        <f>AVERAGEIF(SA[[#All],[Cap (%)]],10,SA[[#All],[Loading Rate]])</f>
        <v>0.7719414688509495</v>
      </c>
      <c r="Y6" s="41">
        <f>AVERAGEIF(SA[[#All],[Cap (%)]],40,SA[[#All],[Loading Rate]])</f>
        <v>0.59135842774955161</v>
      </c>
      <c r="Z6" s="41">
        <f>AVERAGEIF(SA[[#All],[Cap (%)]],70,SA[[#All],[Loading Rate]])</f>
        <v>0.46336202074362304</v>
      </c>
      <c r="AA6" s="41">
        <f>AVERAGEIF(SA[[#All],[Cap (%)]],100,SA[[#All],[Loading Rate]])</f>
        <v>0.25858860295479358</v>
      </c>
      <c r="AB6" s="42">
        <f>AVERAGE(X6:AA6)</f>
        <v>0.52131263007472939</v>
      </c>
    </row>
    <row r="7" spans="1:31" ht="15.5" x14ac:dyDescent="0.35">
      <c r="A7">
        <v>2</v>
      </c>
      <c r="B7">
        <v>40</v>
      </c>
      <c r="C7">
        <v>3</v>
      </c>
      <c r="D7">
        <v>35443.332241068507</v>
      </c>
      <c r="E7">
        <v>12250</v>
      </c>
      <c r="F7">
        <v>8819.7822704934442</v>
      </c>
      <c r="G7">
        <v>7658.2906265922993</v>
      </c>
      <c r="H7">
        <v>5313.1584243399111</v>
      </c>
      <c r="I7">
        <v>465.72808319977059</v>
      </c>
      <c r="J7">
        <v>936.37283644310355</v>
      </c>
      <c r="K7">
        <v>7</v>
      </c>
      <c r="L7">
        <v>1</v>
      </c>
      <c r="M7">
        <v>3</v>
      </c>
      <c r="N7">
        <v>3</v>
      </c>
      <c r="O7">
        <v>0</v>
      </c>
      <c r="P7">
        <v>0.69715455435660922</v>
      </c>
      <c r="Q7">
        <v>0.2434152409214328</v>
      </c>
      <c r="R7">
        <v>901</v>
      </c>
      <c r="S7">
        <v>3.2379143672648235E-2</v>
      </c>
      <c r="T7" t="s">
        <v>27</v>
      </c>
      <c r="W7" s="25" t="s">
        <v>41</v>
      </c>
      <c r="X7" s="41">
        <f>AVERAGEIF(COOP[[#All],[Cap (%)]],10,COOP[[#All],[Loading Rate]])</f>
        <v>0.84412789675015421</v>
      </c>
      <c r="Y7" s="41">
        <f>AVERAGEIF(COOP[[#All],[Cap (%)]],40,COOP[[#All],[Loading Rate]])</f>
        <v>0.75831789032533337</v>
      </c>
      <c r="Z7" s="41">
        <f>AVERAGEIF(COOP[[#All],[Cap (%)]],70,COOP[[#All],[Loading Rate]])</f>
        <v>0.6416748208910118</v>
      </c>
      <c r="AA7" s="41">
        <f>AVERAGEIF(COOP[[#All],[Cap (%)]],100,COOP[[#All],[Loading Rate]])</f>
        <v>0.37043938581172042</v>
      </c>
      <c r="AB7" s="42">
        <f>AVERAGE(X7:AA7)</f>
        <v>0.653639998444555</v>
      </c>
    </row>
    <row r="8" spans="1:31" ht="15.5" x14ac:dyDescent="0.35">
      <c r="A8">
        <v>2</v>
      </c>
      <c r="B8">
        <v>70</v>
      </c>
      <c r="C8">
        <v>3</v>
      </c>
      <c r="D8">
        <v>35996.899619093645</v>
      </c>
      <c r="E8">
        <v>11625</v>
      </c>
      <c r="F8">
        <v>9293.3184879585369</v>
      </c>
      <c r="G8">
        <v>8867.2429749219646</v>
      </c>
      <c r="H8">
        <v>4888.1261411036749</v>
      </c>
      <c r="I8">
        <v>465.72808319977059</v>
      </c>
      <c r="J8">
        <v>857.48393190973991</v>
      </c>
      <c r="K8">
        <v>6</v>
      </c>
      <c r="L8">
        <v>0</v>
      </c>
      <c r="M8">
        <v>4</v>
      </c>
      <c r="N8">
        <v>1</v>
      </c>
      <c r="O8">
        <v>1</v>
      </c>
      <c r="P8">
        <v>0.60853617995810361</v>
      </c>
      <c r="Q8">
        <v>0.23360100136385079</v>
      </c>
      <c r="R8">
        <v>902</v>
      </c>
      <c r="S8">
        <v>5.3032964897919893E-2</v>
      </c>
      <c r="T8" t="s">
        <v>27</v>
      </c>
      <c r="W8" s="24" t="s">
        <v>57</v>
      </c>
      <c r="X8" s="34">
        <f>AVERAGEIF(SA[[#All],[Cap (%)]],10,SA[[#All],[Number of DCs - Level 1]])*2</f>
        <v>5.8</v>
      </c>
      <c r="Y8" s="34">
        <f>AVERAGEIF(SA[[#All],[Cap (%)]],40,SA[[#All],[Number of DCs - Level 1]])*2</f>
        <v>3.6</v>
      </c>
      <c r="Z8" s="34">
        <f>AVERAGEIF(SA[[#All],[Cap (%)]],70,SA[[#All],[Number of DCs - Level 1]])*2</f>
        <v>2.6</v>
      </c>
      <c r="AA8" s="34">
        <f>AVERAGEIF(SA[[#All],[Cap (%)]],100,SA[[#All],[Number of DCs - Level 1]])*2</f>
        <v>3.4</v>
      </c>
      <c r="AB8" s="35">
        <f>AVERAGE(X8:AA8)</f>
        <v>3.85</v>
      </c>
      <c r="AD8" s="13">
        <f>AB8+AB9</f>
        <v>9.25</v>
      </c>
      <c r="AE8" s="3">
        <f>AD8/AB12</f>
        <v>0.88942307692307687</v>
      </c>
    </row>
    <row r="9" spans="1:31" ht="15.5" x14ac:dyDescent="0.35">
      <c r="A9">
        <v>2</v>
      </c>
      <c r="B9">
        <v>100</v>
      </c>
      <c r="C9">
        <v>3</v>
      </c>
      <c r="D9">
        <v>35222.992438694229</v>
      </c>
      <c r="E9">
        <v>10125</v>
      </c>
      <c r="F9">
        <v>9687.9822001252523</v>
      </c>
      <c r="G9">
        <v>9782.3841434478582</v>
      </c>
      <c r="H9">
        <v>4394.4757348075045</v>
      </c>
      <c r="I9">
        <v>465.72808319977065</v>
      </c>
      <c r="J9">
        <v>767.42227711375085</v>
      </c>
      <c r="K9">
        <v>5</v>
      </c>
      <c r="L9">
        <v>0</v>
      </c>
      <c r="M9">
        <v>3</v>
      </c>
      <c r="N9">
        <v>1</v>
      </c>
      <c r="O9">
        <v>1</v>
      </c>
      <c r="P9">
        <v>0.36620873688840883</v>
      </c>
      <c r="Q9">
        <v>0.25185311122726212</v>
      </c>
      <c r="R9">
        <v>901</v>
      </c>
      <c r="S9">
        <v>3.3915750263334897E-2</v>
      </c>
      <c r="T9" t="s">
        <v>27</v>
      </c>
      <c r="W9" s="25" t="s">
        <v>58</v>
      </c>
      <c r="X9" s="26">
        <f>AVERAGEIF(SA[[#All],[Cap (%)]],10,SA[[#All],[Number of DCs - Level 2]])*2</f>
        <v>5.8</v>
      </c>
      <c r="Y9" s="26">
        <f>AVERAGEIF(SA[[#All],[Cap (%)]],40,SA[[#All],[Number of DCs - Level 2]])*2</f>
        <v>5.4</v>
      </c>
      <c r="Z9" s="26">
        <f>AVERAGEIF(SA[[#All],[Cap (%)]],70,SA[[#All],[Number of DCs - Level 2]])*2</f>
        <v>5.6</v>
      </c>
      <c r="AA9" s="26">
        <f>AVERAGEIF(SA[[#All],[Cap (%)]],100,SA[[#All],[Number of DCs - Level 2]])*2</f>
        <v>4.8</v>
      </c>
      <c r="AB9" s="27">
        <f t="shared" ref="AB9:AB11" si="0">AVERAGE(X9:AA9)</f>
        <v>5.3999999999999995</v>
      </c>
      <c r="AD9" s="13">
        <f>AB10+AB11</f>
        <v>1.1499999999999999</v>
      </c>
      <c r="AE9" s="3">
        <f>AD9/AB12</f>
        <v>0.11057692307692306</v>
      </c>
    </row>
    <row r="10" spans="1:31" ht="15.5" x14ac:dyDescent="0.35">
      <c r="A10">
        <v>3</v>
      </c>
      <c r="B10">
        <v>10</v>
      </c>
      <c r="C10">
        <v>3</v>
      </c>
      <c r="D10">
        <v>38711.956873840609</v>
      </c>
      <c r="E10">
        <v>12625</v>
      </c>
      <c r="F10">
        <v>13205.187775362185</v>
      </c>
      <c r="G10">
        <v>5744.9762574916449</v>
      </c>
      <c r="H10">
        <v>5340.7003988648667</v>
      </c>
      <c r="I10">
        <v>582.49031106261236</v>
      </c>
      <c r="J10">
        <v>1213.602131059306</v>
      </c>
      <c r="K10">
        <v>7</v>
      </c>
      <c r="L10">
        <v>1</v>
      </c>
      <c r="M10">
        <v>4</v>
      </c>
      <c r="N10">
        <v>1</v>
      </c>
      <c r="O10">
        <v>1</v>
      </c>
      <c r="P10">
        <v>0.86422360614483007</v>
      </c>
      <c r="Q10">
        <v>0.22044099471814455</v>
      </c>
      <c r="R10">
        <v>901</v>
      </c>
      <c r="S10">
        <v>4.8968350127865344E-2</v>
      </c>
      <c r="T10" t="s">
        <v>27</v>
      </c>
      <c r="W10" s="25" t="s">
        <v>59</v>
      </c>
      <c r="X10" s="26">
        <f>AVERAGEIF(SA[[#All],[Cap (%)]],10,SA[[#All],[Number of DCs - Level 3]])*2</f>
        <v>0.6</v>
      </c>
      <c r="Y10" s="26">
        <f>AVERAGEIF(SA[[#All],[Cap (%)]],40,SA[[#All],[Number of DCs - Level 3]])*2</f>
        <v>1.2</v>
      </c>
      <c r="Z10" s="26">
        <f>AVERAGEIF(SA[[#All],[Cap (%)]],70,SA[[#All],[Number of DCs - Level 3]])*2</f>
        <v>1.2</v>
      </c>
      <c r="AA10" s="26">
        <f>AVERAGEIF(SA[[#All],[Cap (%)]],100,SA[[#All],[Number of DCs - Level 3]])*2</f>
        <v>1.6</v>
      </c>
      <c r="AB10" s="27">
        <f t="shared" si="0"/>
        <v>1.1499999999999999</v>
      </c>
    </row>
    <row r="11" spans="1:31" ht="15.5" x14ac:dyDescent="0.35">
      <c r="A11">
        <v>3</v>
      </c>
      <c r="B11">
        <v>40</v>
      </c>
      <c r="C11">
        <v>3</v>
      </c>
      <c r="D11">
        <v>37031.435403935815</v>
      </c>
      <c r="E11">
        <v>9000</v>
      </c>
      <c r="F11">
        <v>13911.532771283448</v>
      </c>
      <c r="G11">
        <v>9133.6373785660198</v>
      </c>
      <c r="H11">
        <v>3589.0516106142941</v>
      </c>
      <c r="I11">
        <v>582.49031106261259</v>
      </c>
      <c r="J11">
        <v>814.72333240931869</v>
      </c>
      <c r="K11">
        <v>3</v>
      </c>
      <c r="L11">
        <v>0</v>
      </c>
      <c r="M11">
        <v>0</v>
      </c>
      <c r="N11">
        <v>1</v>
      </c>
      <c r="O11">
        <v>2</v>
      </c>
      <c r="P11">
        <v>0.86185457452119174</v>
      </c>
      <c r="Q11">
        <v>0.23345950327678158</v>
      </c>
      <c r="R11">
        <v>901</v>
      </c>
      <c r="S11">
        <v>5.7412568884764412E-2</v>
      </c>
      <c r="T11" t="s">
        <v>27</v>
      </c>
      <c r="W11" s="28" t="s">
        <v>60</v>
      </c>
      <c r="X11" s="29">
        <f>AVERAGEIF(SA[[#All],[Cap (%)]],10,SA[[#All],[Number of DCs - Level 4]])*2</f>
        <v>0</v>
      </c>
      <c r="Y11" s="29">
        <f>AVERAGEIF(SA[[#All],[Cap (%)]],Y4,SA[[#All],[Number of DCs - Level 4]])*2</f>
        <v>0</v>
      </c>
      <c r="Z11" s="29">
        <f>AVERAGEIF(SA[[#All],[Cap (%)]],Z4,SA[[#All],[Number of DCs - Level 4]])*2</f>
        <v>0</v>
      </c>
      <c r="AA11" s="29">
        <f>AVERAGEIF(SA[[#All],[Cap (%)]],AA4,SA[[#All],[Number of DCs - Level 4]])*2</f>
        <v>0</v>
      </c>
      <c r="AB11" s="30">
        <f t="shared" si="0"/>
        <v>0</v>
      </c>
    </row>
    <row r="12" spans="1:31" ht="15.5" x14ac:dyDescent="0.35">
      <c r="A12">
        <v>3</v>
      </c>
      <c r="B12">
        <v>70</v>
      </c>
      <c r="C12">
        <v>3</v>
      </c>
      <c r="D12">
        <v>35371.91128819641</v>
      </c>
      <c r="E12">
        <v>9375</v>
      </c>
      <c r="F12">
        <v>10527.957676349029</v>
      </c>
      <c r="G12">
        <v>9909.2912316029742</v>
      </c>
      <c r="H12">
        <v>4054.8730411872511</v>
      </c>
      <c r="I12">
        <v>582.49031106261248</v>
      </c>
      <c r="J12">
        <v>922.29902799476088</v>
      </c>
      <c r="K12">
        <v>4</v>
      </c>
      <c r="L12">
        <v>0</v>
      </c>
      <c r="M12">
        <v>1</v>
      </c>
      <c r="N12">
        <v>2</v>
      </c>
      <c r="O12">
        <v>1</v>
      </c>
      <c r="P12">
        <v>0.69897294674816157</v>
      </c>
      <c r="Q12">
        <v>0.26678973715065102</v>
      </c>
      <c r="R12">
        <v>624</v>
      </c>
      <c r="S12">
        <v>1.9879636959823796E-2</v>
      </c>
      <c r="T12" t="s">
        <v>27</v>
      </c>
      <c r="W12" s="36" t="s">
        <v>46</v>
      </c>
      <c r="X12" s="37">
        <f>SUM(X8:X11)</f>
        <v>12.2</v>
      </c>
      <c r="Y12" s="37">
        <f t="shared" ref="Y12:AA12" si="1">SUM(Y8:Y11)</f>
        <v>10.199999999999999</v>
      </c>
      <c r="Z12" s="37">
        <f t="shared" si="1"/>
        <v>9.3999999999999986</v>
      </c>
      <c r="AA12" s="37">
        <f t="shared" si="1"/>
        <v>9.7999999999999989</v>
      </c>
      <c r="AB12" s="38">
        <f>SUM(AB8:AB11)</f>
        <v>10.4</v>
      </c>
      <c r="AD12" s="13">
        <f>AB13+AB14</f>
        <v>3.2</v>
      </c>
      <c r="AE12" s="3">
        <f>AD12/AB17</f>
        <v>0.55172413793103448</v>
      </c>
    </row>
    <row r="13" spans="1:31" ht="15.5" x14ac:dyDescent="0.35">
      <c r="A13">
        <v>3</v>
      </c>
      <c r="B13">
        <v>100</v>
      </c>
      <c r="C13">
        <v>3</v>
      </c>
      <c r="D13">
        <v>35489.784428165454</v>
      </c>
      <c r="E13">
        <v>9375</v>
      </c>
      <c r="F13">
        <v>10230.19004534031</v>
      </c>
      <c r="G13">
        <v>10310.608650025497</v>
      </c>
      <c r="H13">
        <v>4065.2457877233537</v>
      </c>
      <c r="I13">
        <v>582.49031106261259</v>
      </c>
      <c r="J13">
        <v>926.24963401383161</v>
      </c>
      <c r="K13">
        <v>4</v>
      </c>
      <c r="L13">
        <v>0</v>
      </c>
      <c r="M13">
        <v>1</v>
      </c>
      <c r="N13">
        <v>2</v>
      </c>
      <c r="O13">
        <v>1</v>
      </c>
      <c r="P13">
        <v>0.39595723418969825</v>
      </c>
      <c r="Q13">
        <v>0.27502149211667692</v>
      </c>
      <c r="R13">
        <v>903</v>
      </c>
      <c r="S13">
        <v>2.486622337413907E-2</v>
      </c>
      <c r="T13" t="s">
        <v>27</v>
      </c>
      <c r="W13" s="25" t="s">
        <v>61</v>
      </c>
      <c r="X13" s="26">
        <f>AVERAGEIF(COOP[[#All],[Cap (%)]],10,COOP[[#All],[Number of DCs - Level 1]])</f>
        <v>1.6</v>
      </c>
      <c r="Y13" s="26">
        <f>AVERAGEIF(COOP[[#All],[Cap (%)]],40,COOP[[#All],[Number of DCs - Level 1]])</f>
        <v>0.4</v>
      </c>
      <c r="Z13" s="26">
        <f>AVERAGEIF(COOP[[#All],[Cap (%)]],70,COOP[[#All],[Number of DCs - Level 1]])</f>
        <v>0</v>
      </c>
      <c r="AA13" s="26">
        <f>AVERAGEIF(COOP[[#All],[Cap (%)]],100,COOP[[#All],[Number of DCs - Level 1]])</f>
        <v>0</v>
      </c>
      <c r="AB13" s="27">
        <f>AVERAGE(X13:AA13)</f>
        <v>0.5</v>
      </c>
      <c r="AD13" s="13">
        <f>AB15+AB16</f>
        <v>2.5999999999999996</v>
      </c>
      <c r="AE13" s="3">
        <f>AD13/AB17</f>
        <v>0.44827586206896547</v>
      </c>
    </row>
    <row r="14" spans="1:31" ht="15.5" x14ac:dyDescent="0.35">
      <c r="A14">
        <v>4</v>
      </c>
      <c r="B14">
        <v>10</v>
      </c>
      <c r="C14">
        <v>3</v>
      </c>
      <c r="D14">
        <v>36898.83877009838</v>
      </c>
      <c r="E14">
        <v>11750</v>
      </c>
      <c r="F14">
        <v>12323.256708766241</v>
      </c>
      <c r="G14">
        <v>5693.4431835139658</v>
      </c>
      <c r="H14">
        <v>5310.0574930233943</v>
      </c>
      <c r="I14">
        <v>606.80188980729213</v>
      </c>
      <c r="J14">
        <v>1215.2794949870927</v>
      </c>
      <c r="K14">
        <v>7</v>
      </c>
      <c r="L14">
        <v>2</v>
      </c>
      <c r="M14">
        <v>2</v>
      </c>
      <c r="N14">
        <v>3</v>
      </c>
      <c r="O14">
        <v>0</v>
      </c>
      <c r="P14">
        <v>0.86392724236379814</v>
      </c>
      <c r="Q14">
        <v>0.23941496360441492</v>
      </c>
      <c r="R14">
        <v>845</v>
      </c>
      <c r="S14">
        <v>7.3700344492942139E-3</v>
      </c>
      <c r="T14" t="s">
        <v>27</v>
      </c>
      <c r="W14" s="25" t="s">
        <v>62</v>
      </c>
      <c r="X14" s="26">
        <f>AVERAGEIF(COOP[[#All],[Cap (%)]],10,COOP[[#All],[Number of DCs - Level 2]])</f>
        <v>4.2</v>
      </c>
      <c r="Y14" s="26">
        <f>AVERAGEIF(COOP[[#All],[Cap (%)]],40,COOP[[#All],[Number of DCs - Level 2]])</f>
        <v>1.8</v>
      </c>
      <c r="Z14" s="26">
        <f>AVERAGEIF(COOP[[#All],[Cap (%)]],70,COOP[[#All],[Number of DCs - Level 2]])</f>
        <v>2.6</v>
      </c>
      <c r="AA14" s="26">
        <f>AVERAGEIF(COOP[[#All],[Cap (%)]],100,COOP[[#All],[Number of DCs - Level 2]])</f>
        <v>2.2000000000000002</v>
      </c>
      <c r="AB14" s="27">
        <f>AVERAGE(X14:AA14)</f>
        <v>2.7</v>
      </c>
    </row>
    <row r="15" spans="1:31" ht="15.5" x14ac:dyDescent="0.35">
      <c r="A15">
        <v>4</v>
      </c>
      <c r="B15">
        <v>40</v>
      </c>
      <c r="C15">
        <v>3</v>
      </c>
      <c r="D15">
        <v>35216.947482593598</v>
      </c>
      <c r="E15">
        <v>11250</v>
      </c>
      <c r="F15">
        <v>9168.1685676118213</v>
      </c>
      <c r="G15">
        <v>7993.3807438146887</v>
      </c>
      <c r="H15">
        <v>5039.8875291659697</v>
      </c>
      <c r="I15">
        <v>606.80188980729213</v>
      </c>
      <c r="J15">
        <v>1158.7087521937667</v>
      </c>
      <c r="K15">
        <v>6</v>
      </c>
      <c r="L15">
        <v>0</v>
      </c>
      <c r="M15">
        <v>3</v>
      </c>
      <c r="N15">
        <v>3</v>
      </c>
      <c r="O15">
        <v>0</v>
      </c>
      <c r="P15">
        <v>0.73261541008772402</v>
      </c>
      <c r="Q15">
        <v>0.26159878065362457</v>
      </c>
      <c r="R15">
        <v>790</v>
      </c>
      <c r="S15">
        <v>1.7699689480636084E-2</v>
      </c>
      <c r="T15" t="s">
        <v>27</v>
      </c>
      <c r="W15" s="25" t="s">
        <v>63</v>
      </c>
      <c r="X15" s="26">
        <f>AVERAGEIF(COOP[[#All],[Cap (%)]],10,COOP[[#All],[Number of DCs - Level 3]])</f>
        <v>1.6</v>
      </c>
      <c r="Y15" s="26">
        <f>AVERAGEIF(COOP[[#All],[Cap (%)]],40,COOP[[#All],[Number of DCs - Level 3]])</f>
        <v>2.6</v>
      </c>
      <c r="Z15" s="26">
        <f>AVERAGEIF(COOP[[#All],[Cap (%)]],70,COOP[[#All],[Number of DCs - Level 3]])</f>
        <v>1.4</v>
      </c>
      <c r="AA15" s="26">
        <f>AVERAGEIF(COOP[[#All],[Cap (%)]],100,COOP[[#All],[Number of DCs - Level 3]])</f>
        <v>2</v>
      </c>
      <c r="AB15" s="27">
        <f>AVERAGE(X15:AA15)</f>
        <v>1.9</v>
      </c>
    </row>
    <row r="16" spans="1:31" ht="15.5" x14ac:dyDescent="0.35">
      <c r="A16">
        <v>4</v>
      </c>
      <c r="B16">
        <v>70</v>
      </c>
      <c r="C16">
        <v>3</v>
      </c>
      <c r="D16">
        <v>34974.623264385875</v>
      </c>
      <c r="E16">
        <v>9375</v>
      </c>
      <c r="F16">
        <v>10339.797348668786</v>
      </c>
      <c r="G16">
        <v>9655.1692713790562</v>
      </c>
      <c r="H16">
        <v>4066.4839823580023</v>
      </c>
      <c r="I16">
        <v>606.80188980729235</v>
      </c>
      <c r="J16">
        <v>931.37077217257138</v>
      </c>
      <c r="K16">
        <v>4</v>
      </c>
      <c r="L16">
        <v>0</v>
      </c>
      <c r="M16">
        <v>1</v>
      </c>
      <c r="N16">
        <v>2</v>
      </c>
      <c r="O16">
        <v>1</v>
      </c>
      <c r="P16">
        <v>0.66188790971119182</v>
      </c>
      <c r="Q16">
        <v>0.26523010646258954</v>
      </c>
      <c r="R16">
        <v>712</v>
      </c>
      <c r="S16">
        <v>1.7190650175751273E-2</v>
      </c>
      <c r="T16" t="s">
        <v>27</v>
      </c>
      <c r="W16" s="25" t="s">
        <v>64</v>
      </c>
      <c r="X16" s="26">
        <f>AVERAGEIF(COOP[[#All],[Cap (%)]],10,COOP[[#All],[Number of DCs - Level 4]])</f>
        <v>0.4</v>
      </c>
      <c r="Y16" s="26">
        <f>AVERAGEIF(COOP[[#All],[Cap (%)]],Y4,COOP[[#All],[Number of DCs - Level 4]])</f>
        <v>0.6</v>
      </c>
      <c r="Z16" s="26">
        <f>AVERAGEIF(COOP[[#All],[Cap (%)]],Z4,COOP[[#All],[Number of DCs - Level 4]])</f>
        <v>1</v>
      </c>
      <c r="AA16" s="26">
        <f>AVERAGEIF(COOP[[#All],[Cap (%)]],AA4,COOP[[#All],[Number of DCs - Level 4]])</f>
        <v>0.8</v>
      </c>
      <c r="AB16" s="27">
        <f>AVERAGE(X16:AA16)</f>
        <v>0.7</v>
      </c>
    </row>
    <row r="17" spans="1:28" ht="15.5" x14ac:dyDescent="0.35">
      <c r="A17">
        <v>4</v>
      </c>
      <c r="B17">
        <v>100</v>
      </c>
      <c r="C17">
        <v>3</v>
      </c>
      <c r="D17">
        <v>34852.257984449388</v>
      </c>
      <c r="E17">
        <v>9375</v>
      </c>
      <c r="F17">
        <v>9896.2917457463445</v>
      </c>
      <c r="G17">
        <v>9977.3235828863035</v>
      </c>
      <c r="H17">
        <v>4066.1734153243274</v>
      </c>
      <c r="I17">
        <v>606.80188980729201</v>
      </c>
      <c r="J17">
        <v>930.66735068511912</v>
      </c>
      <c r="K17">
        <v>4</v>
      </c>
      <c r="L17">
        <v>0</v>
      </c>
      <c r="M17">
        <v>1</v>
      </c>
      <c r="N17">
        <v>2</v>
      </c>
      <c r="O17">
        <v>1</v>
      </c>
      <c r="P17">
        <v>0.37775749331669123</v>
      </c>
      <c r="Q17">
        <v>0.2690206897634162</v>
      </c>
      <c r="R17">
        <v>147</v>
      </c>
      <c r="S17">
        <v>1.6633673254601584E-2</v>
      </c>
      <c r="T17" t="s">
        <v>27</v>
      </c>
      <c r="W17" s="36" t="s">
        <v>47</v>
      </c>
      <c r="X17" s="37">
        <f>SUM(X13:X16)</f>
        <v>7.8000000000000007</v>
      </c>
      <c r="Y17" s="37">
        <f t="shared" ref="Y17:AA17" si="2">SUM(Y13:Y16)</f>
        <v>5.4</v>
      </c>
      <c r="Z17" s="37">
        <f t="shared" si="2"/>
        <v>5</v>
      </c>
      <c r="AA17" s="37">
        <f t="shared" si="2"/>
        <v>5</v>
      </c>
      <c r="AB17" s="38">
        <f>SUM(AB13:AB16)</f>
        <v>5.8</v>
      </c>
    </row>
    <row r="18" spans="1:28" x14ac:dyDescent="0.35">
      <c r="A18">
        <v>5</v>
      </c>
      <c r="B18">
        <v>10</v>
      </c>
      <c r="C18">
        <v>3</v>
      </c>
      <c r="D18">
        <v>40160.653566568159</v>
      </c>
      <c r="E18">
        <v>13375</v>
      </c>
      <c r="F18">
        <v>13218.366015987749</v>
      </c>
      <c r="G18">
        <v>5841.209500421608</v>
      </c>
      <c r="H18">
        <v>5784.8057855280576</v>
      </c>
      <c r="I18">
        <v>613.87430120531917</v>
      </c>
      <c r="J18">
        <v>1327.3979634255893</v>
      </c>
      <c r="K18">
        <v>8</v>
      </c>
      <c r="L18">
        <v>1</v>
      </c>
      <c r="M18">
        <v>6</v>
      </c>
      <c r="N18">
        <v>0</v>
      </c>
      <c r="O18">
        <v>1</v>
      </c>
      <c r="P18">
        <v>0.84225280111202494</v>
      </c>
      <c r="Q18">
        <v>0.21022460231934645</v>
      </c>
      <c r="R18">
        <v>900</v>
      </c>
      <c r="S18">
        <v>5.3501145235435824E-2</v>
      </c>
      <c r="T18" t="s">
        <v>27</v>
      </c>
    </row>
    <row r="19" spans="1:28" x14ac:dyDescent="0.35">
      <c r="A19">
        <v>5</v>
      </c>
      <c r="B19">
        <v>40</v>
      </c>
      <c r="C19">
        <v>3</v>
      </c>
      <c r="D19">
        <v>37286.021470900923</v>
      </c>
      <c r="E19">
        <v>10375</v>
      </c>
      <c r="F19">
        <v>12300.191566651416</v>
      </c>
      <c r="G19">
        <v>8510.1757700151848</v>
      </c>
      <c r="H19">
        <v>4464.4170175687696</v>
      </c>
      <c r="I19">
        <v>613.87430120531872</v>
      </c>
      <c r="J19">
        <v>1022.3628154601245</v>
      </c>
      <c r="K19">
        <v>5</v>
      </c>
      <c r="L19">
        <v>1</v>
      </c>
      <c r="M19">
        <v>1</v>
      </c>
      <c r="N19">
        <v>2</v>
      </c>
      <c r="O19">
        <v>1</v>
      </c>
      <c r="P19">
        <v>0.77741154637437593</v>
      </c>
      <c r="Q19">
        <v>0.26055870400855674</v>
      </c>
      <c r="R19">
        <v>910</v>
      </c>
      <c r="S19">
        <v>3.732518947139736E-2</v>
      </c>
      <c r="T19" t="s">
        <v>27</v>
      </c>
    </row>
    <row r="20" spans="1:28" x14ac:dyDescent="0.35">
      <c r="A20">
        <v>5</v>
      </c>
      <c r="B20">
        <v>70</v>
      </c>
      <c r="C20">
        <v>3</v>
      </c>
      <c r="D20">
        <v>36191.159745139565</v>
      </c>
      <c r="E20">
        <v>10125</v>
      </c>
      <c r="F20">
        <v>10265.68548577699</v>
      </c>
      <c r="G20">
        <v>9636.4007088837698</v>
      </c>
      <c r="H20">
        <v>4517.7097587468797</v>
      </c>
      <c r="I20">
        <v>613.87430120531894</v>
      </c>
      <c r="J20">
        <v>1032.4894905266108</v>
      </c>
      <c r="K20">
        <v>5</v>
      </c>
      <c r="L20">
        <v>0</v>
      </c>
      <c r="M20">
        <v>3</v>
      </c>
      <c r="N20">
        <v>1</v>
      </c>
      <c r="O20">
        <v>1</v>
      </c>
      <c r="P20">
        <v>0.65663651242025733</v>
      </c>
      <c r="Q20">
        <v>0.2685992665776889</v>
      </c>
      <c r="R20">
        <v>848</v>
      </c>
      <c r="S20">
        <v>1.979494197488928E-2</v>
      </c>
      <c r="T20" t="s">
        <v>27</v>
      </c>
    </row>
    <row r="21" spans="1:28" x14ac:dyDescent="0.35">
      <c r="A21">
        <v>5</v>
      </c>
      <c r="B21">
        <v>100</v>
      </c>
      <c r="C21">
        <v>3</v>
      </c>
      <c r="D21">
        <v>36902.805226348959</v>
      </c>
      <c r="E21">
        <v>12000</v>
      </c>
      <c r="F21">
        <v>8929.8814110930689</v>
      </c>
      <c r="G21">
        <v>9051.3446262325742</v>
      </c>
      <c r="H21">
        <v>5123.0122477933965</v>
      </c>
      <c r="I21">
        <v>613.87430120531894</v>
      </c>
      <c r="J21">
        <v>1184.6926400244643</v>
      </c>
      <c r="K21">
        <v>6</v>
      </c>
      <c r="L21">
        <v>0</v>
      </c>
      <c r="M21">
        <v>2</v>
      </c>
      <c r="N21">
        <v>4</v>
      </c>
      <c r="O21">
        <v>0</v>
      </c>
      <c r="P21">
        <v>0.3651690853872136</v>
      </c>
      <c r="Q21">
        <v>0.27325670208951414</v>
      </c>
      <c r="R21">
        <v>900</v>
      </c>
      <c r="S21">
        <v>4.0649891955167057E-2</v>
      </c>
      <c r="T21" t="s">
        <v>27</v>
      </c>
    </row>
  </sheetData>
  <phoneticPr fontId="6" type="noConversion"/>
  <pageMargins left="0.7" right="0.7" top="0.75" bottom="0.75" header="0.3" footer="0.3"/>
  <ignoredErrors>
    <ignoredError sqref="AB12" formula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C9CE-F63C-466E-89EA-3EE4BFB9999E}">
  <sheetPr>
    <tabColor rgb="FFFF0000"/>
  </sheetPr>
  <dimension ref="A1:U89"/>
  <sheetViews>
    <sheetView topLeftCell="J69" workbookViewId="0">
      <selection activeCell="T72" sqref="T72"/>
    </sheetView>
  </sheetViews>
  <sheetFormatPr baseColWidth="10" defaultColWidth="8.7265625" defaultRowHeight="14.5" x14ac:dyDescent="0.35"/>
  <cols>
    <col min="2" max="2" width="9.453125" customWidth="1"/>
    <col min="3" max="3" width="10.1796875" customWidth="1"/>
    <col min="4" max="4" width="11.1796875" customWidth="1"/>
    <col min="5" max="5" width="14" customWidth="1"/>
    <col min="6" max="6" width="19.1796875" customWidth="1"/>
    <col min="7" max="7" width="18.54296875" customWidth="1"/>
    <col min="8" max="8" width="42.1796875" bestFit="1" customWidth="1"/>
    <col min="9" max="9" width="24.26953125" customWidth="1"/>
    <col min="10" max="10" width="20.26953125" customWidth="1"/>
    <col min="11" max="11" width="15.453125" customWidth="1"/>
    <col min="12" max="15" width="22.453125" customWidth="1"/>
    <col min="16" max="16" width="13.54296875" customWidth="1"/>
    <col min="17" max="17" width="10" customWidth="1"/>
    <col min="18" max="18" width="10.1796875" customWidth="1"/>
  </cols>
  <sheetData>
    <row r="1" spans="1:19" x14ac:dyDescent="0.35">
      <c r="A1" t="s">
        <v>0</v>
      </c>
    </row>
    <row r="3" spans="1:19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42</v>
      </c>
      <c r="P3" s="2" t="s">
        <v>15</v>
      </c>
      <c r="Q3" s="2" t="s">
        <v>16</v>
      </c>
      <c r="R3" s="2" t="s">
        <v>17</v>
      </c>
      <c r="S3" s="2" t="s">
        <v>18</v>
      </c>
    </row>
    <row r="4" spans="1:19" x14ac:dyDescent="0.35">
      <c r="A4">
        <v>1</v>
      </c>
      <c r="B4">
        <v>10</v>
      </c>
      <c r="C4">
        <v>1</v>
      </c>
      <c r="D4">
        <v>25447.36526573732</v>
      </c>
      <c r="E4">
        <v>8500</v>
      </c>
      <c r="F4">
        <v>7028.9378586456296</v>
      </c>
      <c r="G4">
        <v>5194.6142851175018</v>
      </c>
      <c r="H4">
        <v>2803.5327545585405</v>
      </c>
      <c r="I4">
        <v>635.74997921666272</v>
      </c>
      <c r="J4">
        <v>1284.5303881989933</v>
      </c>
      <c r="K4">
        <v>7</v>
      </c>
      <c r="L4">
        <v>4</v>
      </c>
      <c r="M4">
        <v>3</v>
      </c>
      <c r="N4">
        <v>0</v>
      </c>
      <c r="O4">
        <v>0</v>
      </c>
      <c r="P4">
        <v>0.74691901042554731</v>
      </c>
      <c r="Q4" s="3" t="str">
        <f t="shared" ref="Q4:Q35" si="0">IF($C4=3,(SUMIFS($D:$D,$A:$A,$A4,$B:$B,$B4,$C:$C,1)+SUMIFS($D:$D,$A:$A,$A4,$B:$B,$B4,$C:$C,2)-$D4)/(SUMIFS($D:$D,$A:$A,$A4,$B:$B,$B4,$C:$C,1)+SUMIFS($D:$D,$A:$A,$A4,$B:$B,$B4,$C:$C,2)),"")</f>
        <v/>
      </c>
      <c r="R4">
        <v>902</v>
      </c>
      <c r="S4">
        <v>2.4636236726345316E-2</v>
      </c>
    </row>
    <row r="5" spans="1:19" x14ac:dyDescent="0.35">
      <c r="A5">
        <v>1</v>
      </c>
      <c r="B5">
        <v>10</v>
      </c>
      <c r="C5">
        <v>2</v>
      </c>
      <c r="D5">
        <v>24608.07483636936</v>
      </c>
      <c r="E5">
        <v>8000</v>
      </c>
      <c r="F5">
        <v>6851.4753156571333</v>
      </c>
      <c r="G5">
        <v>5386.3637537595432</v>
      </c>
      <c r="H5">
        <v>2547.1453282937841</v>
      </c>
      <c r="I5">
        <v>635.74997921666295</v>
      </c>
      <c r="J5">
        <v>1187.3404594422802</v>
      </c>
      <c r="K5">
        <v>6</v>
      </c>
      <c r="L5">
        <v>2</v>
      </c>
      <c r="M5">
        <v>4</v>
      </c>
      <c r="N5">
        <v>0</v>
      </c>
      <c r="O5">
        <v>0</v>
      </c>
      <c r="P5">
        <v>0.7744901284155904</v>
      </c>
      <c r="Q5" s="3" t="str">
        <f t="shared" si="0"/>
        <v/>
      </c>
      <c r="R5">
        <v>291</v>
      </c>
      <c r="S5">
        <v>1.8455190389289864E-2</v>
      </c>
    </row>
    <row r="6" spans="1:19" x14ac:dyDescent="0.35">
      <c r="A6">
        <v>1</v>
      </c>
      <c r="B6">
        <v>10</v>
      </c>
      <c r="C6">
        <v>3</v>
      </c>
      <c r="D6">
        <v>38397.632278026329</v>
      </c>
      <c r="E6">
        <v>14000</v>
      </c>
      <c r="F6">
        <v>10417.72610054</v>
      </c>
      <c r="G6">
        <v>5731.8957609048575</v>
      </c>
      <c r="H6">
        <v>6192.1913690672718</v>
      </c>
      <c r="I6">
        <v>635.74997921666284</v>
      </c>
      <c r="J6">
        <v>1420.0690682975671</v>
      </c>
      <c r="K6">
        <v>9</v>
      </c>
      <c r="L6">
        <v>2</v>
      </c>
      <c r="M6">
        <v>5</v>
      </c>
      <c r="N6">
        <v>2</v>
      </c>
      <c r="O6">
        <v>0</v>
      </c>
      <c r="P6">
        <v>0.82417320605751265</v>
      </c>
      <c r="Q6" s="3">
        <f t="shared" si="0"/>
        <v>0.23289791879363997</v>
      </c>
      <c r="R6">
        <v>910</v>
      </c>
      <c r="S6">
        <v>2.0241320158914805E-2</v>
      </c>
    </row>
    <row r="7" spans="1:19" x14ac:dyDescent="0.35">
      <c r="A7">
        <v>1</v>
      </c>
      <c r="B7">
        <v>40</v>
      </c>
      <c r="C7">
        <v>1</v>
      </c>
      <c r="D7">
        <v>24858.124354261567</v>
      </c>
      <c r="E7">
        <v>7500</v>
      </c>
      <c r="F7">
        <v>6711.3919428724057</v>
      </c>
      <c r="G7">
        <v>6509.9747543665662</v>
      </c>
      <c r="H7">
        <v>2409.9306580799771</v>
      </c>
      <c r="I7">
        <v>635.74997921666306</v>
      </c>
      <c r="J7">
        <v>1091.0770197257825</v>
      </c>
      <c r="K7">
        <v>5</v>
      </c>
      <c r="L7">
        <v>0</v>
      </c>
      <c r="M7">
        <v>5</v>
      </c>
      <c r="N7">
        <v>0</v>
      </c>
      <c r="O7">
        <v>0</v>
      </c>
      <c r="P7">
        <v>0.57353834603900888</v>
      </c>
      <c r="Q7" s="3" t="str">
        <f t="shared" si="0"/>
        <v/>
      </c>
      <c r="R7">
        <v>475</v>
      </c>
      <c r="S7">
        <v>1.8466224369701766E-2</v>
      </c>
    </row>
    <row r="8" spans="1:19" x14ac:dyDescent="0.35">
      <c r="A8">
        <v>1</v>
      </c>
      <c r="B8">
        <v>40</v>
      </c>
      <c r="C8">
        <v>2</v>
      </c>
      <c r="D8">
        <v>24302.478601371993</v>
      </c>
      <c r="E8">
        <v>8000</v>
      </c>
      <c r="F8">
        <v>5955.1931140573251</v>
      </c>
      <c r="G8">
        <v>5977.5298769966612</v>
      </c>
      <c r="H8">
        <v>2546.8144168210315</v>
      </c>
      <c r="I8">
        <v>635.74997921666284</v>
      </c>
      <c r="J8">
        <v>1187.1912142804799</v>
      </c>
      <c r="K8">
        <v>6</v>
      </c>
      <c r="L8">
        <v>2</v>
      </c>
      <c r="M8">
        <v>4</v>
      </c>
      <c r="N8">
        <v>0</v>
      </c>
      <c r="O8">
        <v>0</v>
      </c>
      <c r="P8">
        <v>0.52662916960651251</v>
      </c>
      <c r="Q8" s="3" t="str">
        <f t="shared" si="0"/>
        <v/>
      </c>
      <c r="R8">
        <v>550</v>
      </c>
      <c r="S8">
        <v>1.9482679457533809E-2</v>
      </c>
    </row>
    <row r="9" spans="1:19" x14ac:dyDescent="0.35">
      <c r="A9">
        <v>1</v>
      </c>
      <c r="B9">
        <v>40</v>
      </c>
      <c r="C9">
        <v>3</v>
      </c>
      <c r="D9">
        <v>36595.62111462919</v>
      </c>
      <c r="E9">
        <v>12000</v>
      </c>
      <c r="F9">
        <v>9423.6822567404342</v>
      </c>
      <c r="G9">
        <v>8201.3769535986648</v>
      </c>
      <c r="H9">
        <v>5149.8667484888529</v>
      </c>
      <c r="I9">
        <v>635.74997921666306</v>
      </c>
      <c r="J9">
        <v>1184.9451765846065</v>
      </c>
      <c r="K9">
        <v>6</v>
      </c>
      <c r="L9">
        <v>0</v>
      </c>
      <c r="M9">
        <v>2</v>
      </c>
      <c r="N9">
        <v>4</v>
      </c>
      <c r="O9">
        <v>0</v>
      </c>
      <c r="P9">
        <v>0.7225533662867657</v>
      </c>
      <c r="Q9" s="3">
        <f t="shared" si="0"/>
        <v>0.25559047459902001</v>
      </c>
      <c r="R9">
        <v>908</v>
      </c>
      <c r="S9">
        <v>2.270452723063594E-2</v>
      </c>
    </row>
    <row r="10" spans="1:19" x14ac:dyDescent="0.35">
      <c r="A10">
        <v>1</v>
      </c>
      <c r="B10">
        <v>70</v>
      </c>
      <c r="C10">
        <v>1</v>
      </c>
      <c r="D10">
        <v>24827.869316088978</v>
      </c>
      <c r="E10">
        <v>7500</v>
      </c>
      <c r="F10">
        <v>6556.633959650293</v>
      </c>
      <c r="G10">
        <v>6632.7182419851206</v>
      </c>
      <c r="H10">
        <v>2410.3290084832456</v>
      </c>
      <c r="I10">
        <v>635.74997921666306</v>
      </c>
      <c r="J10">
        <v>1092.4381267536974</v>
      </c>
      <c r="K10">
        <v>5</v>
      </c>
      <c r="L10">
        <v>0</v>
      </c>
      <c r="M10">
        <v>5</v>
      </c>
      <c r="N10">
        <v>0</v>
      </c>
      <c r="O10">
        <v>0</v>
      </c>
      <c r="P10">
        <v>0.43470351138832919</v>
      </c>
      <c r="Q10" s="3" t="str">
        <f t="shared" si="0"/>
        <v/>
      </c>
      <c r="R10">
        <v>884</v>
      </c>
      <c r="S10">
        <v>1.8615191119265198E-2</v>
      </c>
    </row>
    <row r="11" spans="1:19" x14ac:dyDescent="0.35">
      <c r="A11">
        <v>1</v>
      </c>
      <c r="B11">
        <v>70</v>
      </c>
      <c r="C11">
        <v>2</v>
      </c>
      <c r="D11">
        <v>24236.560337519921</v>
      </c>
      <c r="E11">
        <v>7500</v>
      </c>
      <c r="F11">
        <v>6143.86849748243</v>
      </c>
      <c r="G11">
        <v>6233.6298732158184</v>
      </c>
      <c r="H11">
        <v>2539.6807759189514</v>
      </c>
      <c r="I11">
        <v>635.74997921666306</v>
      </c>
      <c r="J11">
        <v>1183.6312116860825</v>
      </c>
      <c r="K11">
        <v>6</v>
      </c>
      <c r="L11">
        <v>3</v>
      </c>
      <c r="M11">
        <v>3</v>
      </c>
      <c r="N11">
        <v>0</v>
      </c>
      <c r="O11">
        <v>0</v>
      </c>
      <c r="P11">
        <v>0.408547551052174</v>
      </c>
      <c r="Q11" s="3" t="str">
        <f t="shared" si="0"/>
        <v/>
      </c>
      <c r="R11">
        <v>578</v>
      </c>
      <c r="S11">
        <v>1.7608254615304172E-2</v>
      </c>
    </row>
    <row r="12" spans="1:19" x14ac:dyDescent="0.35">
      <c r="A12">
        <v>1</v>
      </c>
      <c r="B12">
        <v>70</v>
      </c>
      <c r="C12">
        <v>3</v>
      </c>
      <c r="D12">
        <v>36568.648591401288</v>
      </c>
      <c r="E12">
        <v>11625</v>
      </c>
      <c r="F12">
        <v>9268.7279115907422</v>
      </c>
      <c r="G12">
        <v>8885.3683605064489</v>
      </c>
      <c r="H12">
        <v>4998.8586082676511</v>
      </c>
      <c r="I12">
        <v>635.74997921666284</v>
      </c>
      <c r="J12">
        <v>1154.9437318194136</v>
      </c>
      <c r="K12">
        <v>6</v>
      </c>
      <c r="L12">
        <v>0</v>
      </c>
      <c r="M12">
        <v>4</v>
      </c>
      <c r="N12">
        <v>1</v>
      </c>
      <c r="O12">
        <v>1</v>
      </c>
      <c r="P12">
        <v>0.58234055561734499</v>
      </c>
      <c r="Q12" s="3">
        <f t="shared" si="0"/>
        <v>0.25468106223646869</v>
      </c>
      <c r="R12">
        <v>904</v>
      </c>
      <c r="S12">
        <v>2.9103491976914544E-2</v>
      </c>
    </row>
    <row r="13" spans="1:19" x14ac:dyDescent="0.35">
      <c r="A13">
        <v>1</v>
      </c>
      <c r="B13">
        <v>100</v>
      </c>
      <c r="C13">
        <v>1</v>
      </c>
      <c r="D13">
        <v>24888.52012122142</v>
      </c>
      <c r="E13">
        <v>7250</v>
      </c>
      <c r="F13">
        <v>6759.3522243427897</v>
      </c>
      <c r="G13">
        <v>6838.2782535272627</v>
      </c>
      <c r="H13">
        <v>2336.3028356924697</v>
      </c>
      <c r="I13">
        <v>635.74997921666306</v>
      </c>
      <c r="J13">
        <v>1068.8368284421961</v>
      </c>
      <c r="K13">
        <v>5</v>
      </c>
      <c r="L13">
        <v>2</v>
      </c>
      <c r="M13">
        <v>2</v>
      </c>
      <c r="N13">
        <v>1</v>
      </c>
      <c r="O13">
        <v>0</v>
      </c>
      <c r="P13">
        <v>0.25642305692435713</v>
      </c>
      <c r="Q13" s="3" t="str">
        <f t="shared" si="0"/>
        <v/>
      </c>
      <c r="R13">
        <v>864</v>
      </c>
      <c r="S13">
        <v>1.9771970343353824E-2</v>
      </c>
    </row>
    <row r="14" spans="1:19" x14ac:dyDescent="0.35">
      <c r="A14">
        <v>1</v>
      </c>
      <c r="B14">
        <v>100</v>
      </c>
      <c r="C14">
        <v>2</v>
      </c>
      <c r="D14">
        <v>24330.254721983791</v>
      </c>
      <c r="E14">
        <v>7500</v>
      </c>
      <c r="F14">
        <v>6195.323301250035</v>
      </c>
      <c r="G14">
        <v>6276.6167143707635</v>
      </c>
      <c r="H14">
        <v>2539.287068983348</v>
      </c>
      <c r="I14">
        <v>635.7499792166625</v>
      </c>
      <c r="J14">
        <v>1183.2776581629485</v>
      </c>
      <c r="K14">
        <v>6</v>
      </c>
      <c r="L14">
        <v>3</v>
      </c>
      <c r="M14">
        <v>3</v>
      </c>
      <c r="N14">
        <v>0</v>
      </c>
      <c r="O14">
        <v>0</v>
      </c>
      <c r="P14">
        <v>0.23536176583795532</v>
      </c>
      <c r="Q14" s="3" t="str">
        <f t="shared" si="0"/>
        <v/>
      </c>
      <c r="R14">
        <v>902</v>
      </c>
      <c r="S14">
        <v>2.2400606635946965E-2</v>
      </c>
    </row>
    <row r="15" spans="1:19" x14ac:dyDescent="0.35">
      <c r="A15">
        <v>1</v>
      </c>
      <c r="B15">
        <v>100</v>
      </c>
      <c r="C15">
        <v>3</v>
      </c>
      <c r="D15">
        <v>36751.563827517697</v>
      </c>
      <c r="E15">
        <v>11625</v>
      </c>
      <c r="F15">
        <v>9131.1898748932199</v>
      </c>
      <c r="G15">
        <v>9256.5635749806243</v>
      </c>
      <c r="H15">
        <v>4957.7772268748804</v>
      </c>
      <c r="I15">
        <v>635.74997921666284</v>
      </c>
      <c r="J15">
        <v>1145.2831715527896</v>
      </c>
      <c r="K15">
        <v>6</v>
      </c>
      <c r="L15">
        <v>0</v>
      </c>
      <c r="M15">
        <v>4</v>
      </c>
      <c r="N15">
        <v>1</v>
      </c>
      <c r="O15">
        <v>1</v>
      </c>
      <c r="P15">
        <v>0.34710437927659038</v>
      </c>
      <c r="Q15" s="3">
        <f t="shared" si="0"/>
        <v>0.25330193722627059</v>
      </c>
      <c r="R15">
        <v>903</v>
      </c>
      <c r="S15">
        <v>3.4929007202427545E-2</v>
      </c>
    </row>
    <row r="16" spans="1:19" x14ac:dyDescent="0.35">
      <c r="A16">
        <v>2</v>
      </c>
      <c r="B16">
        <v>10</v>
      </c>
      <c r="C16">
        <v>1</v>
      </c>
      <c r="D16">
        <v>24135.535063915089</v>
      </c>
      <c r="E16">
        <v>8500</v>
      </c>
      <c r="F16">
        <v>6514.5195811721105</v>
      </c>
      <c r="G16">
        <v>4955.8786752281367</v>
      </c>
      <c r="H16">
        <v>2737.0900619847289</v>
      </c>
      <c r="I16">
        <v>465.72808319977071</v>
      </c>
      <c r="J16">
        <v>962.31866233034157</v>
      </c>
      <c r="K16">
        <v>7</v>
      </c>
      <c r="L16">
        <v>4</v>
      </c>
      <c r="M16">
        <v>3</v>
      </c>
      <c r="N16">
        <v>0</v>
      </c>
      <c r="O16">
        <v>0</v>
      </c>
      <c r="P16">
        <v>0.729518156761229</v>
      </c>
      <c r="Q16" s="3" t="str">
        <f t="shared" si="0"/>
        <v/>
      </c>
      <c r="R16">
        <v>480</v>
      </c>
      <c r="S16">
        <v>1.5453838736662021E-2</v>
      </c>
    </row>
    <row r="17" spans="1:19" x14ac:dyDescent="0.35">
      <c r="A17">
        <v>2</v>
      </c>
      <c r="B17">
        <v>10</v>
      </c>
      <c r="C17">
        <v>2</v>
      </c>
      <c r="D17">
        <v>23352.146427959295</v>
      </c>
      <c r="E17">
        <v>7500</v>
      </c>
      <c r="F17">
        <v>6880.9601471432006</v>
      </c>
      <c r="G17">
        <v>5188.1103130816082</v>
      </c>
      <c r="H17">
        <v>2445.6293353790093</v>
      </c>
      <c r="I17">
        <v>465.72808319977071</v>
      </c>
      <c r="J17">
        <v>871.71854915571873</v>
      </c>
      <c r="K17">
        <v>6</v>
      </c>
      <c r="L17">
        <v>3</v>
      </c>
      <c r="M17">
        <v>3</v>
      </c>
      <c r="N17">
        <v>0</v>
      </c>
      <c r="O17">
        <v>0</v>
      </c>
      <c r="P17">
        <v>0.76370325439796782</v>
      </c>
      <c r="Q17" s="3" t="str">
        <f t="shared" si="0"/>
        <v/>
      </c>
      <c r="R17">
        <v>902</v>
      </c>
      <c r="S17">
        <v>2.5087120813934997E-2</v>
      </c>
    </row>
    <row r="18" spans="1:19" x14ac:dyDescent="0.35">
      <c r="A18">
        <v>2</v>
      </c>
      <c r="B18">
        <v>10</v>
      </c>
      <c r="C18">
        <v>3</v>
      </c>
      <c r="D18">
        <v>37221.537508146459</v>
      </c>
      <c r="E18">
        <v>12500</v>
      </c>
      <c r="F18">
        <v>12001.343691948647</v>
      </c>
      <c r="G18">
        <v>5611.7399202825573</v>
      </c>
      <c r="H18">
        <v>5650.0845321331635</v>
      </c>
      <c r="I18">
        <v>465.72808319977082</v>
      </c>
      <c r="J18">
        <v>992.64128058224117</v>
      </c>
      <c r="K18">
        <v>8</v>
      </c>
      <c r="L18">
        <v>2</v>
      </c>
      <c r="M18">
        <v>4</v>
      </c>
      <c r="N18">
        <v>2</v>
      </c>
      <c r="O18">
        <v>0</v>
      </c>
      <c r="P18">
        <v>0.82606262807260555</v>
      </c>
      <c r="Q18" s="3">
        <f t="shared" si="0"/>
        <v>0.21618541190486557</v>
      </c>
      <c r="R18">
        <v>909</v>
      </c>
      <c r="S18">
        <v>3.6735668983783817E-2</v>
      </c>
    </row>
    <row r="19" spans="1:19" x14ac:dyDescent="0.35">
      <c r="A19">
        <v>2</v>
      </c>
      <c r="B19">
        <v>40</v>
      </c>
      <c r="C19">
        <v>1</v>
      </c>
      <c r="D19">
        <v>23638.788250550835</v>
      </c>
      <c r="E19">
        <v>7500</v>
      </c>
      <c r="F19">
        <v>6151.9831928366048</v>
      </c>
      <c r="G19">
        <v>6119.3790553663157</v>
      </c>
      <c r="H19">
        <v>2518.3383175321555</v>
      </c>
      <c r="I19">
        <v>465.72808319977082</v>
      </c>
      <c r="J19">
        <v>883.35960161618459</v>
      </c>
      <c r="K19">
        <v>6</v>
      </c>
      <c r="L19">
        <v>3</v>
      </c>
      <c r="M19">
        <v>3</v>
      </c>
      <c r="N19">
        <v>0</v>
      </c>
      <c r="O19">
        <v>0</v>
      </c>
      <c r="P19">
        <v>0.55706334302193716</v>
      </c>
      <c r="Q19" s="3" t="str">
        <f t="shared" si="0"/>
        <v/>
      </c>
      <c r="R19">
        <v>380</v>
      </c>
      <c r="S19">
        <v>1.5989824746060709E-2</v>
      </c>
    </row>
    <row r="20" spans="1:19" x14ac:dyDescent="0.35">
      <c r="A20">
        <v>2</v>
      </c>
      <c r="B20">
        <v>40</v>
      </c>
      <c r="C20">
        <v>2</v>
      </c>
      <c r="D20">
        <v>23207.691031207876</v>
      </c>
      <c r="E20">
        <v>6750</v>
      </c>
      <c r="F20">
        <v>6623.6149096078398</v>
      </c>
      <c r="G20">
        <v>6400.1513794365101</v>
      </c>
      <c r="H20">
        <v>2174.915837627841</v>
      </c>
      <c r="I20">
        <v>465.72808319977071</v>
      </c>
      <c r="J20">
        <v>793.28082133594091</v>
      </c>
      <c r="K20">
        <v>5</v>
      </c>
      <c r="L20">
        <v>3</v>
      </c>
      <c r="M20">
        <v>1</v>
      </c>
      <c r="N20">
        <v>1</v>
      </c>
      <c r="O20">
        <v>0</v>
      </c>
      <c r="P20">
        <v>0.58262279408052475</v>
      </c>
      <c r="Q20" s="3" t="str">
        <f t="shared" si="0"/>
        <v/>
      </c>
      <c r="R20">
        <v>901</v>
      </c>
      <c r="S20">
        <v>3.1354956335490666E-2</v>
      </c>
    </row>
    <row r="21" spans="1:19" x14ac:dyDescent="0.35">
      <c r="A21">
        <v>2</v>
      </c>
      <c r="B21">
        <v>40</v>
      </c>
      <c r="C21">
        <v>3</v>
      </c>
      <c r="D21">
        <v>35443.332241068507</v>
      </c>
      <c r="E21">
        <v>12250</v>
      </c>
      <c r="F21">
        <v>8819.7822704934442</v>
      </c>
      <c r="G21">
        <v>7658.2906265922993</v>
      </c>
      <c r="H21">
        <v>5313.1584243399111</v>
      </c>
      <c r="I21">
        <v>465.72808319977059</v>
      </c>
      <c r="J21">
        <v>936.37283644310355</v>
      </c>
      <c r="K21">
        <v>7</v>
      </c>
      <c r="L21">
        <v>1</v>
      </c>
      <c r="M21">
        <v>3</v>
      </c>
      <c r="N21">
        <v>3</v>
      </c>
      <c r="O21">
        <v>0</v>
      </c>
      <c r="P21">
        <v>0.69715455435660922</v>
      </c>
      <c r="Q21" s="3">
        <f t="shared" si="0"/>
        <v>0.2434152409214328</v>
      </c>
      <c r="R21">
        <v>901</v>
      </c>
      <c r="S21">
        <v>3.2379143672648235E-2</v>
      </c>
    </row>
    <row r="22" spans="1:19" x14ac:dyDescent="0.35">
      <c r="A22">
        <v>2</v>
      </c>
      <c r="B22">
        <v>70</v>
      </c>
      <c r="C22">
        <v>1</v>
      </c>
      <c r="D22">
        <v>23781.794017901862</v>
      </c>
      <c r="E22">
        <v>7000</v>
      </c>
      <c r="F22">
        <v>6556.9658343347637</v>
      </c>
      <c r="G22">
        <v>6633.4725402098375</v>
      </c>
      <c r="H22">
        <v>2316.3905009865312</v>
      </c>
      <c r="I22">
        <v>465.72808319977077</v>
      </c>
      <c r="J22">
        <v>809.23705917101529</v>
      </c>
      <c r="K22">
        <v>5</v>
      </c>
      <c r="L22">
        <v>1</v>
      </c>
      <c r="M22">
        <v>4</v>
      </c>
      <c r="N22">
        <v>0</v>
      </c>
      <c r="O22">
        <v>0</v>
      </c>
      <c r="P22">
        <v>0.45523823480339415</v>
      </c>
      <c r="Q22" s="3" t="str">
        <f t="shared" si="0"/>
        <v/>
      </c>
      <c r="R22">
        <v>902</v>
      </c>
      <c r="S22">
        <v>2.0678571852644496E-2</v>
      </c>
    </row>
    <row r="23" spans="1:19" x14ac:dyDescent="0.35">
      <c r="A23">
        <v>2</v>
      </c>
      <c r="B23">
        <v>70</v>
      </c>
      <c r="C23">
        <v>2</v>
      </c>
      <c r="D23">
        <v>23187.08209382608</v>
      </c>
      <c r="E23">
        <v>6750</v>
      </c>
      <c r="F23">
        <v>6466.9851346909081</v>
      </c>
      <c r="G23">
        <v>6539.5470238426597</v>
      </c>
      <c r="H23">
        <v>2172.6407120692911</v>
      </c>
      <c r="I23">
        <v>465.72808319977071</v>
      </c>
      <c r="J23">
        <v>792.18114002329355</v>
      </c>
      <c r="K23">
        <v>5</v>
      </c>
      <c r="L23">
        <v>3</v>
      </c>
      <c r="M23">
        <v>1</v>
      </c>
      <c r="N23">
        <v>1</v>
      </c>
      <c r="O23">
        <v>0</v>
      </c>
      <c r="P23">
        <v>0.44879236712024567</v>
      </c>
      <c r="Q23" s="3" t="str">
        <f t="shared" si="0"/>
        <v/>
      </c>
      <c r="R23">
        <v>901</v>
      </c>
      <c r="S23">
        <v>3.1843260705568789E-2</v>
      </c>
    </row>
    <row r="24" spans="1:19" x14ac:dyDescent="0.35">
      <c r="A24">
        <v>2</v>
      </c>
      <c r="B24">
        <v>70</v>
      </c>
      <c r="C24">
        <v>3</v>
      </c>
      <c r="D24">
        <v>35996.899619093645</v>
      </c>
      <c r="E24">
        <v>11625</v>
      </c>
      <c r="F24">
        <v>9293.3184879585369</v>
      </c>
      <c r="G24">
        <v>8867.2429749219646</v>
      </c>
      <c r="H24">
        <v>4888.1261411036749</v>
      </c>
      <c r="I24">
        <v>465.72808319977059</v>
      </c>
      <c r="J24">
        <v>857.48393190973991</v>
      </c>
      <c r="K24">
        <v>6</v>
      </c>
      <c r="L24">
        <v>0</v>
      </c>
      <c r="M24">
        <v>4</v>
      </c>
      <c r="N24">
        <v>1</v>
      </c>
      <c r="O24">
        <v>1</v>
      </c>
      <c r="P24">
        <v>0.60853617995810361</v>
      </c>
      <c r="Q24" s="3">
        <f t="shared" si="0"/>
        <v>0.23360100136385079</v>
      </c>
      <c r="R24">
        <v>902</v>
      </c>
      <c r="S24">
        <v>5.3032964897919893E-2</v>
      </c>
    </row>
    <row r="25" spans="1:19" x14ac:dyDescent="0.35">
      <c r="A25">
        <v>2</v>
      </c>
      <c r="B25">
        <v>100</v>
      </c>
      <c r="C25">
        <v>1</v>
      </c>
      <c r="D25">
        <v>23893.867899641871</v>
      </c>
      <c r="E25">
        <v>7000</v>
      </c>
      <c r="F25">
        <v>6613.2912040501997</v>
      </c>
      <c r="G25">
        <v>6682.4770065918074</v>
      </c>
      <c r="H25">
        <v>2322.4060385996709</v>
      </c>
      <c r="I25">
        <v>465.72808319977077</v>
      </c>
      <c r="J25">
        <v>809.96556720042463</v>
      </c>
      <c r="K25">
        <v>5</v>
      </c>
      <c r="L25">
        <v>1</v>
      </c>
      <c r="M25">
        <v>4</v>
      </c>
      <c r="N25">
        <v>0</v>
      </c>
      <c r="O25">
        <v>0</v>
      </c>
      <c r="P25">
        <v>0.2501620696943207</v>
      </c>
      <c r="Q25" s="3" t="str">
        <f t="shared" si="0"/>
        <v/>
      </c>
      <c r="R25">
        <v>901</v>
      </c>
      <c r="S25">
        <v>2.4878938956736769E-2</v>
      </c>
    </row>
    <row r="26" spans="1:19" x14ac:dyDescent="0.35">
      <c r="A26">
        <v>2</v>
      </c>
      <c r="B26">
        <v>100</v>
      </c>
      <c r="C26">
        <v>2</v>
      </c>
      <c r="D26">
        <v>23186.448769821418</v>
      </c>
      <c r="E26">
        <v>6750</v>
      </c>
      <c r="F26">
        <v>6465.115869158195</v>
      </c>
      <c r="G26">
        <v>6533.0738843559748</v>
      </c>
      <c r="H26">
        <v>2178.4356986767475</v>
      </c>
      <c r="I26">
        <v>465.72808319977071</v>
      </c>
      <c r="J26">
        <v>794.0952344307027</v>
      </c>
      <c r="K26">
        <v>5</v>
      </c>
      <c r="L26">
        <v>3</v>
      </c>
      <c r="M26">
        <v>1</v>
      </c>
      <c r="N26">
        <v>1</v>
      </c>
      <c r="O26">
        <v>0</v>
      </c>
      <c r="P26">
        <v>0.24456908460205004</v>
      </c>
      <c r="Q26" s="3" t="str">
        <f t="shared" si="0"/>
        <v/>
      </c>
      <c r="R26">
        <v>901</v>
      </c>
      <c r="S26">
        <v>2.9932796940682307E-2</v>
      </c>
    </row>
    <row r="27" spans="1:19" x14ac:dyDescent="0.35">
      <c r="A27">
        <v>2</v>
      </c>
      <c r="B27">
        <v>100</v>
      </c>
      <c r="C27">
        <v>3</v>
      </c>
      <c r="D27">
        <v>35222.992438694229</v>
      </c>
      <c r="E27">
        <v>10125</v>
      </c>
      <c r="F27">
        <v>9687.9822001252523</v>
      </c>
      <c r="G27">
        <v>9782.3841434478582</v>
      </c>
      <c r="H27">
        <v>4394.4757348075045</v>
      </c>
      <c r="I27">
        <v>465.72808319977065</v>
      </c>
      <c r="J27">
        <v>767.42227711375085</v>
      </c>
      <c r="K27">
        <v>5</v>
      </c>
      <c r="L27">
        <v>0</v>
      </c>
      <c r="M27">
        <v>3</v>
      </c>
      <c r="N27">
        <v>1</v>
      </c>
      <c r="O27">
        <v>1</v>
      </c>
      <c r="P27">
        <v>0.36620873688840883</v>
      </c>
      <c r="Q27" s="3">
        <f t="shared" si="0"/>
        <v>0.25185311122726212</v>
      </c>
      <c r="R27">
        <v>901</v>
      </c>
      <c r="S27">
        <v>3.3915750263334897E-2</v>
      </c>
    </row>
    <row r="28" spans="1:19" x14ac:dyDescent="0.35">
      <c r="A28">
        <v>3</v>
      </c>
      <c r="B28">
        <v>10</v>
      </c>
      <c r="C28">
        <v>1</v>
      </c>
      <c r="D28">
        <v>24884.373570807304</v>
      </c>
      <c r="E28">
        <v>7250</v>
      </c>
      <c r="F28">
        <v>8237.5659374101433</v>
      </c>
      <c r="G28">
        <v>5489.6401254146867</v>
      </c>
      <c r="H28">
        <v>2287.2256399037265</v>
      </c>
      <c r="I28">
        <v>582.49031106261248</v>
      </c>
      <c r="J28">
        <v>1037.4515570162107</v>
      </c>
      <c r="K28">
        <v>5</v>
      </c>
      <c r="L28">
        <v>2</v>
      </c>
      <c r="M28">
        <v>2</v>
      </c>
      <c r="N28">
        <v>1</v>
      </c>
      <c r="O28">
        <v>0</v>
      </c>
      <c r="P28">
        <v>0.82581308833723022</v>
      </c>
      <c r="Q28" s="3" t="str">
        <f t="shared" si="0"/>
        <v/>
      </c>
      <c r="R28">
        <v>901</v>
      </c>
      <c r="S28">
        <v>3.7924489744103437E-2</v>
      </c>
    </row>
    <row r="29" spans="1:19" x14ac:dyDescent="0.35">
      <c r="A29">
        <v>3</v>
      </c>
      <c r="B29">
        <v>10</v>
      </c>
      <c r="C29">
        <v>2</v>
      </c>
      <c r="D29">
        <v>24774.416349583655</v>
      </c>
      <c r="E29">
        <v>7250</v>
      </c>
      <c r="F29">
        <v>8265.9559556576842</v>
      </c>
      <c r="G29">
        <v>5353.4189513050997</v>
      </c>
      <c r="H29">
        <v>2279.1173856936994</v>
      </c>
      <c r="I29">
        <v>582.49031106261259</v>
      </c>
      <c r="J29">
        <v>1043.4337458646455</v>
      </c>
      <c r="K29">
        <v>5</v>
      </c>
      <c r="L29">
        <v>2</v>
      </c>
      <c r="M29">
        <v>2</v>
      </c>
      <c r="N29">
        <v>1</v>
      </c>
      <c r="O29">
        <v>0</v>
      </c>
      <c r="P29">
        <v>0.80532117522118352</v>
      </c>
      <c r="Q29" s="3" t="str">
        <f t="shared" si="0"/>
        <v/>
      </c>
      <c r="R29">
        <v>904</v>
      </c>
      <c r="S29">
        <v>2.8257836524089017E-2</v>
      </c>
    </row>
    <row r="30" spans="1:19" x14ac:dyDescent="0.35">
      <c r="A30">
        <v>3</v>
      </c>
      <c r="B30">
        <v>10</v>
      </c>
      <c r="C30">
        <v>3</v>
      </c>
      <c r="D30">
        <v>38711.956873840609</v>
      </c>
      <c r="E30">
        <v>12625</v>
      </c>
      <c r="F30">
        <v>13205.187775362185</v>
      </c>
      <c r="G30">
        <v>5744.9762574916449</v>
      </c>
      <c r="H30">
        <v>5340.7003988648667</v>
      </c>
      <c r="I30">
        <v>582.49031106261236</v>
      </c>
      <c r="J30">
        <v>1213.602131059306</v>
      </c>
      <c r="K30">
        <v>7</v>
      </c>
      <c r="L30">
        <v>1</v>
      </c>
      <c r="M30">
        <v>4</v>
      </c>
      <c r="N30">
        <v>1</v>
      </c>
      <c r="O30">
        <v>1</v>
      </c>
      <c r="P30">
        <v>0.86422360614483007</v>
      </c>
      <c r="Q30" s="3">
        <f t="shared" si="0"/>
        <v>0.22044099471814455</v>
      </c>
      <c r="R30">
        <v>901</v>
      </c>
      <c r="S30">
        <v>4.8968350127865344E-2</v>
      </c>
    </row>
    <row r="31" spans="1:19" x14ac:dyDescent="0.35">
      <c r="A31">
        <v>3</v>
      </c>
      <c r="B31">
        <v>40</v>
      </c>
      <c r="C31">
        <v>1</v>
      </c>
      <c r="D31">
        <v>24028.859469386236</v>
      </c>
      <c r="E31">
        <v>7500</v>
      </c>
      <c r="F31">
        <v>6134.1772577671391</v>
      </c>
      <c r="G31">
        <v>6144.9652063037765</v>
      </c>
      <c r="H31">
        <v>2521.5564368668797</v>
      </c>
      <c r="I31">
        <v>582.49031106261236</v>
      </c>
      <c r="J31">
        <v>1145.6702573857388</v>
      </c>
      <c r="K31">
        <v>6</v>
      </c>
      <c r="L31">
        <v>3</v>
      </c>
      <c r="M31">
        <v>3</v>
      </c>
      <c r="N31">
        <v>0</v>
      </c>
      <c r="O31">
        <v>0</v>
      </c>
      <c r="P31">
        <v>0.57984197902960211</v>
      </c>
      <c r="Q31" s="3" t="str">
        <f t="shared" si="0"/>
        <v/>
      </c>
      <c r="R31">
        <v>901</v>
      </c>
      <c r="S31">
        <v>2.2719695976641838E-2</v>
      </c>
    </row>
    <row r="32" spans="1:19" x14ac:dyDescent="0.35">
      <c r="A32">
        <v>3</v>
      </c>
      <c r="B32">
        <v>40</v>
      </c>
      <c r="C32">
        <v>2</v>
      </c>
      <c r="D32">
        <v>24280.963119552711</v>
      </c>
      <c r="E32">
        <v>6250</v>
      </c>
      <c r="F32">
        <v>7483.5806778973574</v>
      </c>
      <c r="G32">
        <v>7006.6828060887137</v>
      </c>
      <c r="H32">
        <v>2030.7636862764741</v>
      </c>
      <c r="I32">
        <v>582.49031106261259</v>
      </c>
      <c r="J32">
        <v>927.44563822752525</v>
      </c>
      <c r="K32">
        <v>4</v>
      </c>
      <c r="L32">
        <v>1</v>
      </c>
      <c r="M32">
        <v>2</v>
      </c>
      <c r="N32">
        <v>1</v>
      </c>
      <c r="O32">
        <v>0</v>
      </c>
      <c r="P32">
        <v>0.6611540811569443</v>
      </c>
      <c r="Q32" s="3" t="str">
        <f t="shared" si="0"/>
        <v/>
      </c>
      <c r="R32">
        <v>901</v>
      </c>
      <c r="S32">
        <v>3.1686709060955998E-2</v>
      </c>
    </row>
    <row r="33" spans="1:19" x14ac:dyDescent="0.35">
      <c r="A33">
        <v>3</v>
      </c>
      <c r="B33">
        <v>40</v>
      </c>
      <c r="C33">
        <v>3</v>
      </c>
      <c r="D33">
        <v>37031.435403935815</v>
      </c>
      <c r="E33">
        <v>9000</v>
      </c>
      <c r="F33">
        <v>13911.532771283448</v>
      </c>
      <c r="G33">
        <v>9133.6373785660198</v>
      </c>
      <c r="H33">
        <v>3589.0516106142941</v>
      </c>
      <c r="I33">
        <v>582.49031106261259</v>
      </c>
      <c r="J33">
        <v>814.72333240931869</v>
      </c>
      <c r="K33">
        <v>3</v>
      </c>
      <c r="L33">
        <v>0</v>
      </c>
      <c r="M33">
        <v>0</v>
      </c>
      <c r="N33">
        <v>1</v>
      </c>
      <c r="O33">
        <v>2</v>
      </c>
      <c r="P33">
        <v>0.86185457452119174</v>
      </c>
      <c r="Q33" s="3">
        <f t="shared" si="0"/>
        <v>0.23345950327678158</v>
      </c>
      <c r="R33">
        <v>901</v>
      </c>
      <c r="S33">
        <v>5.7412568884764412E-2</v>
      </c>
    </row>
    <row r="34" spans="1:19" x14ac:dyDescent="0.35">
      <c r="A34">
        <v>3</v>
      </c>
      <c r="B34">
        <v>70</v>
      </c>
      <c r="C34">
        <v>1</v>
      </c>
      <c r="D34">
        <v>24194.913495824221</v>
      </c>
      <c r="E34">
        <v>6250</v>
      </c>
      <c r="F34">
        <v>7198.566659681117</v>
      </c>
      <c r="G34">
        <v>7210.473074721378</v>
      </c>
      <c r="H34">
        <v>2030.7887529314403</v>
      </c>
      <c r="I34">
        <v>582.49031106261259</v>
      </c>
      <c r="J34">
        <v>922.5946974277266</v>
      </c>
      <c r="K34">
        <v>4</v>
      </c>
      <c r="L34">
        <v>1</v>
      </c>
      <c r="M34">
        <v>2</v>
      </c>
      <c r="N34">
        <v>1</v>
      </c>
      <c r="O34">
        <v>0</v>
      </c>
      <c r="P34">
        <v>0.50860606421706667</v>
      </c>
      <c r="Q34" s="3" t="str">
        <f t="shared" si="0"/>
        <v/>
      </c>
      <c r="R34">
        <v>902</v>
      </c>
      <c r="S34">
        <v>2.9527637592942791E-2</v>
      </c>
    </row>
    <row r="35" spans="1:19" x14ac:dyDescent="0.35">
      <c r="A35">
        <v>3</v>
      </c>
      <c r="B35">
        <v>70</v>
      </c>
      <c r="C35">
        <v>2</v>
      </c>
      <c r="D35">
        <v>24047.607211314589</v>
      </c>
      <c r="E35">
        <v>6250</v>
      </c>
      <c r="F35">
        <v>7122.9375338455156</v>
      </c>
      <c r="G35">
        <v>7134.4560330586473</v>
      </c>
      <c r="H35">
        <v>2031.7475361416532</v>
      </c>
      <c r="I35">
        <v>582.49031106261259</v>
      </c>
      <c r="J35">
        <v>925.97579720616852</v>
      </c>
      <c r="K35">
        <v>4</v>
      </c>
      <c r="L35">
        <v>1</v>
      </c>
      <c r="M35">
        <v>2</v>
      </c>
      <c r="N35">
        <v>1</v>
      </c>
      <c r="O35">
        <v>0</v>
      </c>
      <c r="P35">
        <v>0.50324404039798454</v>
      </c>
      <c r="Q35" s="3" t="str">
        <f t="shared" si="0"/>
        <v/>
      </c>
      <c r="R35">
        <v>903</v>
      </c>
      <c r="S35">
        <v>2.3847108685527991E-2</v>
      </c>
    </row>
    <row r="36" spans="1:19" x14ac:dyDescent="0.35">
      <c r="A36">
        <v>3</v>
      </c>
      <c r="B36">
        <v>70</v>
      </c>
      <c r="C36">
        <v>3</v>
      </c>
      <c r="D36">
        <v>35371.91128819641</v>
      </c>
      <c r="E36">
        <v>9375</v>
      </c>
      <c r="F36">
        <v>10527.957676349029</v>
      </c>
      <c r="G36">
        <v>9909.2912316029742</v>
      </c>
      <c r="H36">
        <v>4054.8730411872511</v>
      </c>
      <c r="I36">
        <v>582.49031106261248</v>
      </c>
      <c r="J36">
        <v>922.29902799476088</v>
      </c>
      <c r="K36">
        <v>4</v>
      </c>
      <c r="L36">
        <v>0</v>
      </c>
      <c r="M36">
        <v>1</v>
      </c>
      <c r="N36">
        <v>2</v>
      </c>
      <c r="O36">
        <v>1</v>
      </c>
      <c r="P36">
        <v>0.69897294674816157</v>
      </c>
      <c r="Q36" s="3">
        <f t="shared" ref="Q36:Q63" si="1">IF($C36=3,(SUMIFS($D:$D,$A:$A,$A36,$B:$B,$B36,$C:$C,1)+SUMIFS($D:$D,$A:$A,$A36,$B:$B,$B36,$C:$C,2)-$D36)/(SUMIFS($D:$D,$A:$A,$A36,$B:$B,$B36,$C:$C,1)+SUMIFS($D:$D,$A:$A,$A36,$B:$B,$B36,$C:$C,2)),"")</f>
        <v>0.26678973715065102</v>
      </c>
      <c r="R36">
        <v>624</v>
      </c>
      <c r="S36">
        <v>1.9879636959823796E-2</v>
      </c>
    </row>
    <row r="37" spans="1:19" x14ac:dyDescent="0.35">
      <c r="A37">
        <v>3</v>
      </c>
      <c r="B37">
        <v>100</v>
      </c>
      <c r="C37">
        <v>1</v>
      </c>
      <c r="D37">
        <v>24460.508945920272</v>
      </c>
      <c r="E37">
        <v>6250</v>
      </c>
      <c r="F37">
        <v>7316.080790979162</v>
      </c>
      <c r="G37">
        <v>7375.0630712344264</v>
      </c>
      <c r="H37">
        <v>2024.3985364198065</v>
      </c>
      <c r="I37">
        <v>582.49031106261259</v>
      </c>
      <c r="J37">
        <v>912.47623622426954</v>
      </c>
      <c r="K37">
        <v>4</v>
      </c>
      <c r="L37">
        <v>1</v>
      </c>
      <c r="M37">
        <v>2</v>
      </c>
      <c r="N37">
        <v>1</v>
      </c>
      <c r="O37">
        <v>0</v>
      </c>
      <c r="P37">
        <v>0.2832237819106192</v>
      </c>
      <c r="Q37" s="3" t="str">
        <f t="shared" si="1"/>
        <v/>
      </c>
      <c r="R37">
        <v>901</v>
      </c>
      <c r="S37">
        <v>3.923857608386E-2</v>
      </c>
    </row>
    <row r="38" spans="1:19" x14ac:dyDescent="0.35">
      <c r="A38">
        <v>3</v>
      </c>
      <c r="B38">
        <v>100</v>
      </c>
      <c r="C38">
        <v>2</v>
      </c>
      <c r="D38">
        <v>24492.369025294185</v>
      </c>
      <c r="E38">
        <v>6750</v>
      </c>
      <c r="F38">
        <v>6920.9458441175466</v>
      </c>
      <c r="G38">
        <v>6991.7977507547639</v>
      </c>
      <c r="H38">
        <v>2234.4747732522569</v>
      </c>
      <c r="I38">
        <v>582.49031106261259</v>
      </c>
      <c r="J38">
        <v>1012.6603461070154</v>
      </c>
      <c r="K38">
        <v>5</v>
      </c>
      <c r="L38">
        <v>3</v>
      </c>
      <c r="M38">
        <v>1</v>
      </c>
      <c r="N38">
        <v>1</v>
      </c>
      <c r="O38">
        <v>0</v>
      </c>
      <c r="P38">
        <v>0.26850528357467662</v>
      </c>
      <c r="Q38" s="3" t="str">
        <f t="shared" si="1"/>
        <v/>
      </c>
      <c r="R38">
        <v>906</v>
      </c>
      <c r="S38">
        <v>4.1943736589557849E-2</v>
      </c>
    </row>
    <row r="39" spans="1:19" x14ac:dyDescent="0.35">
      <c r="A39">
        <v>3</v>
      </c>
      <c r="B39">
        <v>100</v>
      </c>
      <c r="C39">
        <v>3</v>
      </c>
      <c r="D39">
        <v>35489.784428165454</v>
      </c>
      <c r="E39">
        <v>9375</v>
      </c>
      <c r="F39">
        <v>10230.19004534031</v>
      </c>
      <c r="G39">
        <v>10310.608650025497</v>
      </c>
      <c r="H39">
        <v>4065.2457877233537</v>
      </c>
      <c r="I39">
        <v>582.49031106261259</v>
      </c>
      <c r="J39">
        <v>926.24963401383161</v>
      </c>
      <c r="K39">
        <v>4</v>
      </c>
      <c r="L39">
        <v>0</v>
      </c>
      <c r="M39">
        <v>1</v>
      </c>
      <c r="N39">
        <v>2</v>
      </c>
      <c r="O39">
        <v>1</v>
      </c>
      <c r="P39">
        <v>0.39595723418969825</v>
      </c>
      <c r="Q39" s="3">
        <f t="shared" si="1"/>
        <v>0.27502149211667692</v>
      </c>
      <c r="R39">
        <v>903</v>
      </c>
      <c r="S39">
        <v>2.486622337413907E-2</v>
      </c>
    </row>
    <row r="40" spans="1:19" x14ac:dyDescent="0.35">
      <c r="A40">
        <v>4</v>
      </c>
      <c r="B40">
        <v>10</v>
      </c>
      <c r="C40">
        <v>1</v>
      </c>
      <c r="D40">
        <v>24608.535613788714</v>
      </c>
      <c r="E40">
        <v>8000</v>
      </c>
      <c r="F40">
        <v>7044.4455151184002</v>
      </c>
      <c r="G40">
        <v>5220.9160737313387</v>
      </c>
      <c r="H40">
        <v>2578.736704471688</v>
      </c>
      <c r="I40">
        <v>606.80188980729213</v>
      </c>
      <c r="J40">
        <v>1157.6354306599628</v>
      </c>
      <c r="K40">
        <v>6</v>
      </c>
      <c r="L40">
        <v>2</v>
      </c>
      <c r="M40">
        <v>4</v>
      </c>
      <c r="N40">
        <v>0</v>
      </c>
      <c r="O40">
        <v>0</v>
      </c>
      <c r="P40">
        <v>0.79222563232951937</v>
      </c>
      <c r="Q40" s="3" t="str">
        <f t="shared" si="1"/>
        <v/>
      </c>
      <c r="R40">
        <v>905</v>
      </c>
      <c r="S40">
        <v>2.0915185437049812E-2</v>
      </c>
    </row>
    <row r="41" spans="1:19" x14ac:dyDescent="0.35">
      <c r="A41">
        <v>4</v>
      </c>
      <c r="B41">
        <v>10</v>
      </c>
      <c r="C41">
        <v>2</v>
      </c>
      <c r="D41">
        <v>23905.222880543613</v>
      </c>
      <c r="E41">
        <v>8000</v>
      </c>
      <c r="F41">
        <v>6543.2605371461223</v>
      </c>
      <c r="G41">
        <v>4844.700937179382</v>
      </c>
      <c r="H41">
        <v>2667.6512649911733</v>
      </c>
      <c r="I41">
        <v>606.80188980729213</v>
      </c>
      <c r="J41">
        <v>1242.8082514197479</v>
      </c>
      <c r="K41">
        <v>7</v>
      </c>
      <c r="L41">
        <v>5</v>
      </c>
      <c r="M41">
        <v>2</v>
      </c>
      <c r="N41">
        <v>0</v>
      </c>
      <c r="O41">
        <v>0</v>
      </c>
      <c r="P41">
        <v>0.73513847171676527</v>
      </c>
      <c r="Q41" s="3" t="str">
        <f t="shared" si="1"/>
        <v/>
      </c>
      <c r="R41">
        <v>388</v>
      </c>
      <c r="S41">
        <v>1.676152304119452E-2</v>
      </c>
    </row>
    <row r="42" spans="1:19" x14ac:dyDescent="0.35">
      <c r="A42">
        <v>4</v>
      </c>
      <c r="B42">
        <v>10</v>
      </c>
      <c r="C42">
        <v>3</v>
      </c>
      <c r="D42">
        <v>36898.83877009838</v>
      </c>
      <c r="E42">
        <v>11750</v>
      </c>
      <c r="F42">
        <v>12323.256708766241</v>
      </c>
      <c r="G42">
        <v>5693.4431835139658</v>
      </c>
      <c r="H42">
        <v>5310.0574930233943</v>
      </c>
      <c r="I42">
        <v>606.80188980729213</v>
      </c>
      <c r="J42">
        <v>1215.2794949870927</v>
      </c>
      <c r="K42">
        <v>7</v>
      </c>
      <c r="L42">
        <v>2</v>
      </c>
      <c r="M42">
        <v>2</v>
      </c>
      <c r="N42">
        <v>3</v>
      </c>
      <c r="O42">
        <v>0</v>
      </c>
      <c r="P42">
        <v>0.86392724236379814</v>
      </c>
      <c r="Q42" s="3">
        <f t="shared" si="1"/>
        <v>0.23941496360441492</v>
      </c>
      <c r="R42">
        <v>845</v>
      </c>
      <c r="S42">
        <v>7.3700344492942139E-3</v>
      </c>
    </row>
    <row r="43" spans="1:19" x14ac:dyDescent="0.35">
      <c r="A43">
        <v>4</v>
      </c>
      <c r="B43">
        <v>40</v>
      </c>
      <c r="C43">
        <v>1</v>
      </c>
      <c r="D43">
        <v>24162.078702299947</v>
      </c>
      <c r="E43">
        <v>6750</v>
      </c>
      <c r="F43">
        <v>6953.6013440689267</v>
      </c>
      <c r="G43">
        <v>6792.0270654999449</v>
      </c>
      <c r="H43">
        <v>2109.3127096446028</v>
      </c>
      <c r="I43">
        <v>606.80188980729235</v>
      </c>
      <c r="J43">
        <v>950.33569327922828</v>
      </c>
      <c r="K43">
        <v>4</v>
      </c>
      <c r="L43">
        <v>0</v>
      </c>
      <c r="M43">
        <v>3</v>
      </c>
      <c r="N43">
        <v>1</v>
      </c>
      <c r="O43">
        <v>0</v>
      </c>
      <c r="P43">
        <v>0.62250802925515203</v>
      </c>
      <c r="Q43" s="3" t="str">
        <f t="shared" si="1"/>
        <v/>
      </c>
      <c r="R43">
        <v>901</v>
      </c>
      <c r="S43">
        <v>2.1178762681130274E-2</v>
      </c>
    </row>
    <row r="44" spans="1:19" x14ac:dyDescent="0.35">
      <c r="A44">
        <v>4</v>
      </c>
      <c r="B44">
        <v>40</v>
      </c>
      <c r="C44">
        <v>2</v>
      </c>
      <c r="D44">
        <v>23531.433388277652</v>
      </c>
      <c r="E44">
        <v>7000</v>
      </c>
      <c r="F44">
        <v>6335.8283761873327</v>
      </c>
      <c r="G44">
        <v>6253.3263131126005</v>
      </c>
      <c r="H44">
        <v>2273.4325035962725</v>
      </c>
      <c r="I44">
        <v>606.80188980729213</v>
      </c>
      <c r="J44">
        <v>1062.0443055740952</v>
      </c>
      <c r="K44">
        <v>5</v>
      </c>
      <c r="L44">
        <v>1</v>
      </c>
      <c r="M44">
        <v>4</v>
      </c>
      <c r="N44">
        <v>0</v>
      </c>
      <c r="O44">
        <v>0</v>
      </c>
      <c r="P44">
        <v>0.57313461827004286</v>
      </c>
      <c r="Q44" s="3" t="str">
        <f t="shared" si="1"/>
        <v/>
      </c>
      <c r="R44">
        <v>846</v>
      </c>
      <c r="S44">
        <v>1.9837838070494464E-2</v>
      </c>
    </row>
    <row r="45" spans="1:19" x14ac:dyDescent="0.35">
      <c r="A45">
        <v>4</v>
      </c>
      <c r="B45">
        <v>40</v>
      </c>
      <c r="C45">
        <v>3</v>
      </c>
      <c r="D45">
        <v>35216.947482593598</v>
      </c>
      <c r="E45">
        <v>11250</v>
      </c>
      <c r="F45">
        <v>9168.1685676118213</v>
      </c>
      <c r="G45">
        <v>7993.3807438146887</v>
      </c>
      <c r="H45">
        <v>5039.8875291659697</v>
      </c>
      <c r="I45">
        <v>606.80188980729213</v>
      </c>
      <c r="J45">
        <v>1158.7087521937667</v>
      </c>
      <c r="K45">
        <v>6</v>
      </c>
      <c r="L45">
        <v>0</v>
      </c>
      <c r="M45">
        <v>3</v>
      </c>
      <c r="N45">
        <v>3</v>
      </c>
      <c r="O45">
        <v>0</v>
      </c>
      <c r="P45">
        <v>0.73261541008772402</v>
      </c>
      <c r="Q45" s="3">
        <f t="shared" si="1"/>
        <v>0.26159878065362457</v>
      </c>
      <c r="R45">
        <v>790</v>
      </c>
      <c r="S45">
        <v>1.7699689480636084E-2</v>
      </c>
    </row>
    <row r="46" spans="1:19" x14ac:dyDescent="0.35">
      <c r="A46">
        <v>4</v>
      </c>
      <c r="B46">
        <v>70</v>
      </c>
      <c r="C46">
        <v>1</v>
      </c>
      <c r="D46">
        <v>24124.927289073476</v>
      </c>
      <c r="E46">
        <v>6750</v>
      </c>
      <c r="F46">
        <v>6818.5266097841068</v>
      </c>
      <c r="G46">
        <v>6886.147153546297</v>
      </c>
      <c r="H46">
        <v>2111.9851305678253</v>
      </c>
      <c r="I46">
        <v>606.80188980729235</v>
      </c>
      <c r="J46">
        <v>951.46650536798552</v>
      </c>
      <c r="K46">
        <v>4</v>
      </c>
      <c r="L46">
        <v>0</v>
      </c>
      <c r="M46">
        <v>3</v>
      </c>
      <c r="N46">
        <v>1</v>
      </c>
      <c r="O46">
        <v>0</v>
      </c>
      <c r="P46">
        <v>0.47206397084464879</v>
      </c>
      <c r="Q46" s="3" t="str">
        <f t="shared" si="1"/>
        <v/>
      </c>
      <c r="R46">
        <v>734</v>
      </c>
      <c r="S46">
        <v>1.9963618460650666E-2</v>
      </c>
    </row>
    <row r="47" spans="1:19" x14ac:dyDescent="0.35">
      <c r="A47">
        <v>4</v>
      </c>
      <c r="B47">
        <v>70</v>
      </c>
      <c r="C47">
        <v>2</v>
      </c>
      <c r="D47">
        <v>23474.496111369866</v>
      </c>
      <c r="E47">
        <v>7000</v>
      </c>
      <c r="F47">
        <v>6234.038781137594</v>
      </c>
      <c r="G47">
        <v>6291.7356802849354</v>
      </c>
      <c r="H47">
        <v>2276.4657736283216</v>
      </c>
      <c r="I47">
        <v>606.80188980729213</v>
      </c>
      <c r="J47">
        <v>1065.4539865117749</v>
      </c>
      <c r="K47">
        <v>5</v>
      </c>
      <c r="L47">
        <v>1</v>
      </c>
      <c r="M47">
        <v>4</v>
      </c>
      <c r="N47">
        <v>0</v>
      </c>
      <c r="O47">
        <v>0</v>
      </c>
      <c r="P47">
        <v>0.43131546022955547</v>
      </c>
      <c r="Q47" s="3" t="str">
        <f t="shared" si="1"/>
        <v/>
      </c>
      <c r="R47">
        <v>523</v>
      </c>
      <c r="S47">
        <v>1.8478873464061945E-2</v>
      </c>
    </row>
    <row r="48" spans="1:19" x14ac:dyDescent="0.35">
      <c r="A48">
        <v>4</v>
      </c>
      <c r="B48">
        <v>70</v>
      </c>
      <c r="C48">
        <v>3</v>
      </c>
      <c r="D48">
        <v>34974.623264385875</v>
      </c>
      <c r="E48">
        <v>9375</v>
      </c>
      <c r="F48">
        <v>10339.797348668786</v>
      </c>
      <c r="G48">
        <v>9655.1692713790562</v>
      </c>
      <c r="H48">
        <v>4066.4839823580023</v>
      </c>
      <c r="I48">
        <v>606.80188980729235</v>
      </c>
      <c r="J48">
        <v>931.37077217257138</v>
      </c>
      <c r="K48">
        <v>4</v>
      </c>
      <c r="L48">
        <v>0</v>
      </c>
      <c r="M48">
        <v>1</v>
      </c>
      <c r="N48">
        <v>2</v>
      </c>
      <c r="O48">
        <v>1</v>
      </c>
      <c r="P48">
        <v>0.66188790971119182</v>
      </c>
      <c r="Q48" s="3">
        <f t="shared" si="1"/>
        <v>0.26523010646258954</v>
      </c>
      <c r="R48">
        <v>712</v>
      </c>
      <c r="S48">
        <v>1.7190650175751273E-2</v>
      </c>
    </row>
    <row r="49" spans="1:19" x14ac:dyDescent="0.35">
      <c r="A49">
        <v>4</v>
      </c>
      <c r="B49">
        <v>100</v>
      </c>
      <c r="C49">
        <v>1</v>
      </c>
      <c r="D49">
        <v>24208.40925216594</v>
      </c>
      <c r="E49">
        <v>6750</v>
      </c>
      <c r="F49">
        <v>6864.6700056582722</v>
      </c>
      <c r="G49">
        <v>6923.4865542617354</v>
      </c>
      <c r="H49">
        <v>2111.9848436067659</v>
      </c>
      <c r="I49">
        <v>606.80188980729201</v>
      </c>
      <c r="J49">
        <v>951.46595883182522</v>
      </c>
      <c r="K49">
        <v>4</v>
      </c>
      <c r="L49">
        <v>0</v>
      </c>
      <c r="M49">
        <v>3</v>
      </c>
      <c r="N49">
        <v>1</v>
      </c>
      <c r="O49">
        <v>0</v>
      </c>
      <c r="P49">
        <v>0.26213431929137954</v>
      </c>
      <c r="Q49" s="3" t="str">
        <f t="shared" si="1"/>
        <v/>
      </c>
      <c r="R49">
        <v>902</v>
      </c>
      <c r="S49">
        <v>2.5498409323384413E-2</v>
      </c>
    </row>
    <row r="50" spans="1:19" x14ac:dyDescent="0.35">
      <c r="A50">
        <v>4</v>
      </c>
      <c r="B50">
        <v>100</v>
      </c>
      <c r="C50">
        <v>2</v>
      </c>
      <c r="D50">
        <v>23470.447722827434</v>
      </c>
      <c r="E50">
        <v>7000</v>
      </c>
      <c r="F50">
        <v>6224.5126063449525</v>
      </c>
      <c r="G50">
        <v>6289.9096254833503</v>
      </c>
      <c r="H50">
        <v>2281.7091445415867</v>
      </c>
      <c r="I50">
        <v>606.80188980729224</v>
      </c>
      <c r="J50">
        <v>1067.5144566502488</v>
      </c>
      <c r="K50">
        <v>5</v>
      </c>
      <c r="L50">
        <v>1</v>
      </c>
      <c r="M50">
        <v>4</v>
      </c>
      <c r="N50">
        <v>0</v>
      </c>
      <c r="O50">
        <v>0</v>
      </c>
      <c r="P50">
        <v>0.23814607931396334</v>
      </c>
      <c r="Q50" s="3" t="str">
        <f t="shared" si="1"/>
        <v/>
      </c>
      <c r="R50">
        <v>638</v>
      </c>
      <c r="S50">
        <v>1.9470244096999476E-2</v>
      </c>
    </row>
    <row r="51" spans="1:19" x14ac:dyDescent="0.35">
      <c r="A51">
        <v>4</v>
      </c>
      <c r="B51">
        <v>100</v>
      </c>
      <c r="C51">
        <v>3</v>
      </c>
      <c r="D51">
        <v>34852.257984449388</v>
      </c>
      <c r="E51">
        <v>9375</v>
      </c>
      <c r="F51">
        <v>9896.2917457463445</v>
      </c>
      <c r="G51">
        <v>9977.3235828863035</v>
      </c>
      <c r="H51">
        <v>4066.1734153243274</v>
      </c>
      <c r="I51">
        <v>606.80188980729201</v>
      </c>
      <c r="J51">
        <v>930.66735068511912</v>
      </c>
      <c r="K51">
        <v>4</v>
      </c>
      <c r="L51">
        <v>0</v>
      </c>
      <c r="M51">
        <v>1</v>
      </c>
      <c r="N51">
        <v>2</v>
      </c>
      <c r="O51">
        <v>1</v>
      </c>
      <c r="P51">
        <v>0.37775749331669123</v>
      </c>
      <c r="Q51" s="3">
        <f t="shared" si="1"/>
        <v>0.2690206897634162</v>
      </c>
      <c r="R51">
        <v>147</v>
      </c>
      <c r="S51">
        <v>1.6633673254601584E-2</v>
      </c>
    </row>
    <row r="52" spans="1:19" x14ac:dyDescent="0.35">
      <c r="A52">
        <v>5</v>
      </c>
      <c r="B52">
        <v>10</v>
      </c>
      <c r="C52">
        <v>1</v>
      </c>
      <c r="D52">
        <v>25131.91411075892</v>
      </c>
      <c r="E52">
        <v>8000</v>
      </c>
      <c r="F52">
        <v>7456.3370455893964</v>
      </c>
      <c r="G52">
        <v>5306.5326817981659</v>
      </c>
      <c r="H52">
        <v>2575.5652883332032</v>
      </c>
      <c r="I52">
        <v>613.87430120531883</v>
      </c>
      <c r="J52">
        <v>1179.6047938327501</v>
      </c>
      <c r="K52">
        <v>6</v>
      </c>
      <c r="L52">
        <v>2</v>
      </c>
      <c r="M52">
        <v>4</v>
      </c>
      <c r="N52">
        <v>0</v>
      </c>
      <c r="O52">
        <v>0</v>
      </c>
      <c r="P52">
        <v>0.76515694482699415</v>
      </c>
      <c r="Q52" s="3" t="str">
        <f t="shared" si="1"/>
        <v/>
      </c>
      <c r="R52">
        <v>901</v>
      </c>
      <c r="S52">
        <v>2.152346012109816E-2</v>
      </c>
    </row>
    <row r="53" spans="1:19" x14ac:dyDescent="0.35">
      <c r="A53">
        <v>5</v>
      </c>
      <c r="B53">
        <v>10</v>
      </c>
      <c r="C53">
        <v>2</v>
      </c>
      <c r="D53">
        <v>25718.813430904964</v>
      </c>
      <c r="E53">
        <v>8250</v>
      </c>
      <c r="F53">
        <v>7721.5779122448912</v>
      </c>
      <c r="G53">
        <v>5417.3012115990741</v>
      </c>
      <c r="H53">
        <v>2537.4428933231948</v>
      </c>
      <c r="I53">
        <v>613.87430120531906</v>
      </c>
      <c r="J53">
        <v>1178.617112532537</v>
      </c>
      <c r="K53">
        <v>6</v>
      </c>
      <c r="L53">
        <v>3</v>
      </c>
      <c r="M53">
        <v>2</v>
      </c>
      <c r="N53">
        <v>1</v>
      </c>
      <c r="O53">
        <v>0</v>
      </c>
      <c r="P53">
        <v>0.78112882607746836</v>
      </c>
      <c r="Q53" s="3" t="str">
        <f t="shared" si="1"/>
        <v/>
      </c>
      <c r="R53">
        <v>901</v>
      </c>
      <c r="S53">
        <v>4.6353210394640652E-2</v>
      </c>
    </row>
    <row r="54" spans="1:19" x14ac:dyDescent="0.35">
      <c r="A54">
        <v>5</v>
      </c>
      <c r="B54">
        <v>10</v>
      </c>
      <c r="C54">
        <v>3</v>
      </c>
      <c r="D54">
        <v>40160.653566568159</v>
      </c>
      <c r="E54">
        <v>13375</v>
      </c>
      <c r="F54">
        <v>13218.366015987749</v>
      </c>
      <c r="G54">
        <v>5841.209500421608</v>
      </c>
      <c r="H54">
        <v>5784.8057855280576</v>
      </c>
      <c r="I54">
        <v>613.87430120531917</v>
      </c>
      <c r="J54">
        <v>1327.3979634255893</v>
      </c>
      <c r="K54">
        <v>8</v>
      </c>
      <c r="L54">
        <v>1</v>
      </c>
      <c r="M54">
        <v>6</v>
      </c>
      <c r="N54">
        <v>0</v>
      </c>
      <c r="O54">
        <v>1</v>
      </c>
      <c r="P54">
        <v>0.84225280111202494</v>
      </c>
      <c r="Q54" s="3">
        <f t="shared" si="1"/>
        <v>0.21022460231934645</v>
      </c>
      <c r="R54">
        <v>900</v>
      </c>
      <c r="S54">
        <v>5.3501145235435824E-2</v>
      </c>
    </row>
    <row r="55" spans="1:19" x14ac:dyDescent="0.35">
      <c r="A55">
        <v>5</v>
      </c>
      <c r="B55">
        <v>40</v>
      </c>
      <c r="C55">
        <v>1</v>
      </c>
      <c r="D55">
        <v>24748.353201274211</v>
      </c>
      <c r="E55">
        <v>7250</v>
      </c>
      <c r="F55">
        <v>6906.2567247283905</v>
      </c>
      <c r="G55">
        <v>6625.7426465559683</v>
      </c>
      <c r="H55">
        <v>2299.6743480950408</v>
      </c>
      <c r="I55">
        <v>613.87430120531883</v>
      </c>
      <c r="J55">
        <v>1052.8051806894969</v>
      </c>
      <c r="K55">
        <v>5</v>
      </c>
      <c r="L55">
        <v>2</v>
      </c>
      <c r="M55">
        <v>2</v>
      </c>
      <c r="N55">
        <v>1</v>
      </c>
      <c r="O55">
        <v>0</v>
      </c>
      <c r="P55">
        <v>0.60526703277816496</v>
      </c>
      <c r="Q55" s="3" t="str">
        <f t="shared" si="1"/>
        <v/>
      </c>
      <c r="R55">
        <v>902</v>
      </c>
      <c r="S55">
        <v>2.5863261150387964E-2</v>
      </c>
    </row>
    <row r="56" spans="1:19" x14ac:dyDescent="0.35">
      <c r="A56">
        <v>5</v>
      </c>
      <c r="B56">
        <v>40</v>
      </c>
      <c r="C56">
        <v>2</v>
      </c>
      <c r="D56">
        <v>25676.233135776121</v>
      </c>
      <c r="E56">
        <v>7500</v>
      </c>
      <c r="F56">
        <v>7338.7380555131176</v>
      </c>
      <c r="G56">
        <v>6916.4663761149677</v>
      </c>
      <c r="H56">
        <v>2263.5829026847755</v>
      </c>
      <c r="I56">
        <v>613.87430120531917</v>
      </c>
      <c r="J56">
        <v>1043.5715002579752</v>
      </c>
      <c r="K56">
        <v>5</v>
      </c>
      <c r="L56">
        <v>3</v>
      </c>
      <c r="M56">
        <v>0</v>
      </c>
      <c r="N56">
        <v>2</v>
      </c>
      <c r="O56">
        <v>0</v>
      </c>
      <c r="P56">
        <v>0.63182488425762784</v>
      </c>
      <c r="Q56" s="3" t="str">
        <f t="shared" si="1"/>
        <v/>
      </c>
      <c r="R56">
        <v>901</v>
      </c>
      <c r="S56">
        <v>6.3232676478777339E-2</v>
      </c>
    </row>
    <row r="57" spans="1:19" x14ac:dyDescent="0.35">
      <c r="A57">
        <v>5</v>
      </c>
      <c r="B57">
        <v>40</v>
      </c>
      <c r="C57">
        <v>3</v>
      </c>
      <c r="D57">
        <v>37286.021470900923</v>
      </c>
      <c r="E57">
        <v>10375</v>
      </c>
      <c r="F57">
        <v>12300.191566651416</v>
      </c>
      <c r="G57">
        <v>8510.1757700151848</v>
      </c>
      <c r="H57">
        <v>4464.4170175687696</v>
      </c>
      <c r="I57">
        <v>613.87430120531872</v>
      </c>
      <c r="J57">
        <v>1022.3628154601245</v>
      </c>
      <c r="K57">
        <v>5</v>
      </c>
      <c r="L57">
        <v>1</v>
      </c>
      <c r="M57">
        <v>1</v>
      </c>
      <c r="N57">
        <v>2</v>
      </c>
      <c r="O57">
        <v>1</v>
      </c>
      <c r="P57">
        <v>0.77741154637437593</v>
      </c>
      <c r="Q57" s="3">
        <f t="shared" si="1"/>
        <v>0.26055870400855674</v>
      </c>
      <c r="R57">
        <v>910</v>
      </c>
      <c r="S57">
        <v>3.732518947139736E-2</v>
      </c>
    </row>
    <row r="58" spans="1:19" x14ac:dyDescent="0.35">
      <c r="A58">
        <v>5</v>
      </c>
      <c r="B58">
        <v>70</v>
      </c>
      <c r="C58">
        <v>1</v>
      </c>
      <c r="D58">
        <v>24777.407407262192</v>
      </c>
      <c r="E58">
        <v>7250</v>
      </c>
      <c r="F58">
        <v>6730.8293141857494</v>
      </c>
      <c r="G58">
        <v>6802.9737028144791</v>
      </c>
      <c r="H58">
        <v>2314.2681607754148</v>
      </c>
      <c r="I58">
        <v>613.87430120531883</v>
      </c>
      <c r="J58">
        <v>1065.4619282811577</v>
      </c>
      <c r="K58">
        <v>5</v>
      </c>
      <c r="L58">
        <v>2</v>
      </c>
      <c r="M58">
        <v>2</v>
      </c>
      <c r="N58">
        <v>1</v>
      </c>
      <c r="O58">
        <v>0</v>
      </c>
      <c r="P58">
        <v>0.46356321838968723</v>
      </c>
      <c r="Q58" s="3" t="str">
        <f t="shared" si="1"/>
        <v/>
      </c>
      <c r="R58">
        <v>904</v>
      </c>
      <c r="S58">
        <v>2.8745675915499608E-2</v>
      </c>
    </row>
    <row r="59" spans="1:19" x14ac:dyDescent="0.35">
      <c r="A59">
        <v>5</v>
      </c>
      <c r="B59">
        <v>70</v>
      </c>
      <c r="C59">
        <v>2</v>
      </c>
      <c r="D59">
        <v>24704.577079951574</v>
      </c>
      <c r="E59">
        <v>6250</v>
      </c>
      <c r="F59">
        <v>7399.457368692234</v>
      </c>
      <c r="G59">
        <v>7448.4353342115955</v>
      </c>
      <c r="H59">
        <v>2043.9398573417175</v>
      </c>
      <c r="I59">
        <v>613.87430120531894</v>
      </c>
      <c r="J59">
        <v>948.87021850067981</v>
      </c>
      <c r="K59">
        <v>4</v>
      </c>
      <c r="L59">
        <v>1</v>
      </c>
      <c r="M59">
        <v>2</v>
      </c>
      <c r="N59">
        <v>1</v>
      </c>
      <c r="O59">
        <v>0</v>
      </c>
      <c r="P59">
        <v>0.50754578899314517</v>
      </c>
      <c r="Q59" s="3" t="str">
        <f t="shared" si="1"/>
        <v/>
      </c>
      <c r="R59">
        <v>901</v>
      </c>
      <c r="S59">
        <v>2.6482197563691783E-2</v>
      </c>
    </row>
    <row r="60" spans="1:19" x14ac:dyDescent="0.35">
      <c r="A60">
        <v>5</v>
      </c>
      <c r="B60">
        <v>70</v>
      </c>
      <c r="C60">
        <v>3</v>
      </c>
      <c r="D60">
        <v>36191.159745139565</v>
      </c>
      <c r="E60">
        <v>10125</v>
      </c>
      <c r="F60">
        <v>10265.68548577699</v>
      </c>
      <c r="G60">
        <v>9636.4007088837698</v>
      </c>
      <c r="H60">
        <v>4517.7097587468797</v>
      </c>
      <c r="I60">
        <v>613.87430120531894</v>
      </c>
      <c r="J60">
        <v>1032.4894905266108</v>
      </c>
      <c r="K60">
        <v>5</v>
      </c>
      <c r="L60">
        <v>0</v>
      </c>
      <c r="M60">
        <v>3</v>
      </c>
      <c r="N60">
        <v>1</v>
      </c>
      <c r="O60">
        <v>1</v>
      </c>
      <c r="P60">
        <v>0.65663651242025733</v>
      </c>
      <c r="Q60" s="3">
        <f t="shared" si="1"/>
        <v>0.2685992665776889</v>
      </c>
      <c r="R60">
        <v>848</v>
      </c>
      <c r="S60">
        <v>1.979494197488928E-2</v>
      </c>
    </row>
    <row r="61" spans="1:19" x14ac:dyDescent="0.35">
      <c r="A61">
        <v>5</v>
      </c>
      <c r="B61">
        <v>100</v>
      </c>
      <c r="C61">
        <v>1</v>
      </c>
      <c r="D61">
        <v>25116.689574991502</v>
      </c>
      <c r="E61">
        <v>7750</v>
      </c>
      <c r="F61">
        <v>6619.0441344270275</v>
      </c>
      <c r="G61">
        <v>6695.8502445951772</v>
      </c>
      <c r="H61">
        <v>2354.9815651165754</v>
      </c>
      <c r="I61">
        <v>613.87430120531883</v>
      </c>
      <c r="J61">
        <v>1082.9393296474282</v>
      </c>
      <c r="K61">
        <v>5</v>
      </c>
      <c r="L61">
        <v>1</v>
      </c>
      <c r="M61">
        <v>3</v>
      </c>
      <c r="N61">
        <v>1</v>
      </c>
      <c r="O61">
        <v>0</v>
      </c>
      <c r="P61">
        <v>0.27013859384186306</v>
      </c>
      <c r="Q61" s="3" t="str">
        <f t="shared" si="1"/>
        <v/>
      </c>
      <c r="R61">
        <v>902</v>
      </c>
      <c r="S61">
        <v>4.1477553014288356E-2</v>
      </c>
    </row>
    <row r="62" spans="1:19" x14ac:dyDescent="0.35">
      <c r="A62">
        <v>5</v>
      </c>
      <c r="B62">
        <v>100</v>
      </c>
      <c r="C62">
        <v>2</v>
      </c>
      <c r="D62">
        <v>25661.632471391291</v>
      </c>
      <c r="E62">
        <v>8000</v>
      </c>
      <c r="F62">
        <v>6798.1462824314494</v>
      </c>
      <c r="G62">
        <v>6871.4245293903077</v>
      </c>
      <c r="H62">
        <v>2302.9838676013205</v>
      </c>
      <c r="I62">
        <v>613.87430120531906</v>
      </c>
      <c r="J62">
        <v>1075.2034907629152</v>
      </c>
      <c r="K62">
        <v>5</v>
      </c>
      <c r="L62">
        <v>2</v>
      </c>
      <c r="M62">
        <v>1</v>
      </c>
      <c r="N62">
        <v>2</v>
      </c>
      <c r="O62">
        <v>0</v>
      </c>
      <c r="P62">
        <v>0.27722199455675089</v>
      </c>
      <c r="Q62" s="3" t="str">
        <f t="shared" si="1"/>
        <v/>
      </c>
      <c r="R62">
        <v>901</v>
      </c>
      <c r="S62">
        <v>6.3959994192135106E-2</v>
      </c>
    </row>
    <row r="63" spans="1:19" x14ac:dyDescent="0.35">
      <c r="A63">
        <v>5</v>
      </c>
      <c r="B63">
        <v>100</v>
      </c>
      <c r="C63">
        <v>3</v>
      </c>
      <c r="D63">
        <v>36902.805226348959</v>
      </c>
      <c r="E63">
        <v>12000</v>
      </c>
      <c r="F63">
        <v>8929.8814110930689</v>
      </c>
      <c r="G63">
        <v>9051.3446262325742</v>
      </c>
      <c r="H63">
        <v>5123.0122477933965</v>
      </c>
      <c r="I63">
        <v>613.87430120531894</v>
      </c>
      <c r="J63">
        <v>1184.6926400244643</v>
      </c>
      <c r="K63">
        <v>6</v>
      </c>
      <c r="L63">
        <v>0</v>
      </c>
      <c r="M63">
        <v>2</v>
      </c>
      <c r="N63">
        <v>4</v>
      </c>
      <c r="O63">
        <v>0</v>
      </c>
      <c r="P63">
        <v>0.3651690853872136</v>
      </c>
      <c r="Q63" s="3">
        <f t="shared" si="1"/>
        <v>0.27325670208951414</v>
      </c>
      <c r="R63">
        <v>900</v>
      </c>
      <c r="S63">
        <v>4.0649891955167057E-2</v>
      </c>
    </row>
    <row r="64" spans="1:19" ht="16" x14ac:dyDescent="0.4">
      <c r="E64" s="4" t="s">
        <v>19</v>
      </c>
      <c r="F64" s="4" t="s">
        <v>20</v>
      </c>
      <c r="G64" s="4" t="s">
        <v>21</v>
      </c>
      <c r="H64" s="4" t="s">
        <v>22</v>
      </c>
      <c r="I64" s="4" t="s">
        <v>23</v>
      </c>
      <c r="J64" s="4" t="s">
        <v>24</v>
      </c>
      <c r="K64" s="4" t="s">
        <v>25</v>
      </c>
      <c r="M64" s="5" t="str">
        <f>IF($D64=3,(SUMIFS($E:$E,$A:$A,$A64,$B:$B,$B64,$C:$C,$C64,$D:$D,1)+SUMIFS($E:$E,$A:$A,$A64,$B:$B,$B64,$C:$C,$C64,$D:$D,2)-$E64)/(SUMIFS($E:$E,$A:$A,$A64,$B:$B,$B64,$C:$C,$C64,$D:$D,1)+SUMIFS($E:$E,$A:$A,$A64,$B:$B,$B64,$C:$C,$C64,$D:$D,2)),"")</f>
        <v/>
      </c>
    </row>
    <row r="65" spans="4:21" x14ac:dyDescent="0.35">
      <c r="D65" t="s">
        <v>26</v>
      </c>
      <c r="E65">
        <f>SUMIF(Tableau1[[#All],[Scenario]],1,Tableau1[[#All],[Total Cost]])+SUMIF(Tableau1[[#All],[Scenario]],2,Tableau1[[#All],[Total Cost]])</f>
        <v>974067.78366971936</v>
      </c>
      <c r="F65">
        <f>SUMIF(Tableau1[[#All],[Scenario]],1,Tableau1[[#All],[Opening Cost]])+SUMIF(Tableau1[[#All],[Scenario]],2,Tableau1[[#All],[Opening Cost]])</f>
        <v>290750</v>
      </c>
      <c r="G65">
        <f>SUMIF(Tableau1[[#All],[Scenario]],1,Tableau1[[#All],[Transportation Cost]])+SUMIF(Tableau1[[#All],[Scenario]],2,Tableau1[[#All],[Transportation Cost]])</f>
        <v>273144.69335756556</v>
      </c>
      <c r="H65">
        <f>SUMIF(Tableau1[[#All],[Scenario]],1,Tableau1[[#All],[Retailer Stock Cost]])+SUMIF(Tableau1[[#All],[Scenario]],2,Tableau1[[#All],[Retailer Stock Cost]])</f>
        <v>252395.2887805129</v>
      </c>
      <c r="I65">
        <f>SUMIF(Tableau1[[#All],[Scenario]],1,Tableau1[[#All],[DC Stock Cost]])+SUMIF(Tableau1[[#All],[Scenario]],2,Tableau1[[#All],[DC Stock Cost]])</f>
        <v>93542.659055492753</v>
      </c>
      <c r="J65">
        <f>SUMIF(Tableau1[[#All],[Scenario]],1,Tableau1[[#All],[Retailer Safety Stock Cost]])+SUMIF(Tableau1[[#All],[Scenario]],2,Tableau1[[#All],[Retailer Safety Stock Cost]])</f>
        <v>23237.156515933253</v>
      </c>
      <c r="K65">
        <f>SUMIF(Tableau1[[#All],[Scenario]],1,Tableau1[[#All],[DC Safety Stock Cost]])+SUMIF(Tableau1[[#All],[Scenario]],2,Tableau1[[#All],[DC Safety Stock Cost]])</f>
        <v>40997.985960215199</v>
      </c>
      <c r="Q65" s="6">
        <f>AVERAGE(Tableau1[[#All],[Synergie]])</f>
        <v>0.24925708505071084</v>
      </c>
      <c r="R65" s="17">
        <f>AVERAGE(Tableau1[[#All],[Tps RUN ]])</f>
        <v>810.0333333333333</v>
      </c>
      <c r="S65" s="16">
        <f>AVERAGE(Tableau1[[#All],[GAP]])</f>
        <v>2.8564630102300488E-2</v>
      </c>
    </row>
    <row r="66" spans="4:21" x14ac:dyDescent="0.35">
      <c r="D66" t="s">
        <v>27</v>
      </c>
      <c r="E66">
        <f>SUMIF(Tableau1[[#All],[Scenario]],3,Tableau1[[#All],[Total Cost]])</f>
        <v>731286.62312320049</v>
      </c>
      <c r="F66">
        <f>SUMIF(Tableau1[[#All],[Scenario]],3,Tableau1[[#All],[Opening Cost]])</f>
        <v>223750</v>
      </c>
      <c r="G66">
        <f>SUMIF(Tableau1[[#All],[Scenario]],3,Tableau1[[#All],[Transportation Cost]])</f>
        <v>212360.25991292769</v>
      </c>
      <c r="H66">
        <f>SUMIF(Tableau1[[#All],[Scenario]],3,Tableau1[[#All],[Retailer Stock Cost]])</f>
        <v>165451.82322006856</v>
      </c>
      <c r="I66">
        <f>SUMIF(Tableau1[[#All],[Scenario]],3,Tableau1[[#All],[DC Stock Cost]])</f>
        <v>96966.956852981471</v>
      </c>
      <c r="J66">
        <f>SUMIF(Tableau1[[#All],[Scenario]],3,Tableau1[[#All],[Retailer Safety Stock Cost]])</f>
        <v>11618.578257966628</v>
      </c>
      <c r="K66">
        <f>SUMIF(Tableau1[[#All],[Scenario]],3,Tableau1[[#All],[DC Safety Stock Cost]])</f>
        <v>21139.004879255768</v>
      </c>
      <c r="M66" s="5" t="str">
        <f>IF($D66=3,(SUMIFS($E:$E,$A:$A,$A66,$B:$B,$B66,$C:$C,$C66,$D:$D,1)+SUMIFS($E:$E,$A:$A,$A66,$B:$B,$B66,$C:$C,$C66,$D:$D,2)-$E66)/(SUMIFS($E:$E,$A:$A,$A66,$B:$B,$B66,$C:$C,$C66,$D:$D,1)+SUMIFS($E:$E,$A:$A,$A66,$B:$B,$B66,$C:$C,$C66,$D:$D,2)),"")</f>
        <v/>
      </c>
    </row>
    <row r="67" spans="4:21" x14ac:dyDescent="0.35">
      <c r="D67" t="s">
        <v>43</v>
      </c>
      <c r="E67" s="16">
        <f>(E66-E65)/E65</f>
        <v>-0.24924462610996231</v>
      </c>
      <c r="F67" s="3">
        <f t="shared" ref="F67:K67" si="2">(F66-F65)/F65</f>
        <v>-0.23043852106620807</v>
      </c>
      <c r="G67" s="3">
        <f t="shared" si="2"/>
        <v>-0.22253565572685968</v>
      </c>
      <c r="H67" s="3">
        <f t="shared" si="2"/>
        <v>-0.34447340907401724</v>
      </c>
      <c r="I67" s="3">
        <f t="shared" si="2"/>
        <v>3.660680412620413E-2</v>
      </c>
      <c r="J67" s="3">
        <f t="shared" si="2"/>
        <v>-0.49999999999999994</v>
      </c>
      <c r="K67" s="3">
        <f t="shared" si="2"/>
        <v>-0.48438918683056181</v>
      </c>
      <c r="M67" s="5" t="str">
        <f>IF($D67=3,(SUMIFS($E:$E,$A:$A,$A67,$B:$B,$B67,$C:$C,$C67,$D:$D,1)+SUMIFS($E:$E,$A:$A,$A67,$B:$B,$B67,$C:$C,$C67,$D:$D,2)-$E67)/(SUMIFS($E:$E,$A:$A,$A67,$B:$B,$B67,$C:$C,$C67,$D:$D,1)+SUMIFS($E:$E,$A:$A,$A67,$B:$B,$B67,$C:$C,$C67,$D:$D,2)),"")</f>
        <v/>
      </c>
    </row>
    <row r="68" spans="4:21" x14ac:dyDescent="0.35">
      <c r="E68" t="s">
        <v>26</v>
      </c>
      <c r="F68" s="7">
        <f>F65/$E$65</f>
        <v>0.29849052075680355</v>
      </c>
      <c r="G68" s="7">
        <f t="shared" ref="G68:K68" si="3">G65/$E$65</f>
        <v>0.28041651508944854</v>
      </c>
      <c r="H68" s="7">
        <f t="shared" si="3"/>
        <v>0.25911470742789033</v>
      </c>
      <c r="I68" s="7">
        <f t="shared" si="3"/>
        <v>9.6033007788306646E-2</v>
      </c>
      <c r="J68" s="7">
        <f t="shared" si="3"/>
        <v>2.38557900235538E-2</v>
      </c>
      <c r="K68" s="7">
        <f t="shared" si="3"/>
        <v>4.2089458913997436E-2</v>
      </c>
      <c r="M68" s="5" t="str">
        <f>IF($D68=3,(SUMIFS($E:$E,$A:$A,$A68,$B:$B,$B68,$C:$C,$C68,$D:$D,1)+SUMIFS($E:$E,$A:$A,$A68,$B:$B,$B68,$C:$C,$C68,$D:$D,2)-$E68)/(SUMIFS($E:$E,$A:$A,$A68,$B:$B,$B68,$C:$C,$C68,$D:$D,1)+SUMIFS($E:$E,$A:$A,$A68,$B:$B,$B68,$C:$C,$C68,$D:$D,2)),"")</f>
        <v/>
      </c>
    </row>
    <row r="69" spans="4:21" x14ac:dyDescent="0.35">
      <c r="E69" t="s">
        <v>27</v>
      </c>
      <c r="F69" s="7">
        <f>F66/$E$66</f>
        <v>0.30596758223800391</v>
      </c>
      <c r="G69" s="7">
        <f t="shared" ref="G69:K69" si="4">G66/$E$66</f>
        <v>0.29039264933627973</v>
      </c>
      <c r="H69" s="7">
        <f t="shared" si="4"/>
        <v>0.22624757241347043</v>
      </c>
      <c r="I69" s="7">
        <f t="shared" si="4"/>
        <v>0.13259774455992662</v>
      </c>
      <c r="J69" s="7">
        <f t="shared" si="4"/>
        <v>1.5887858317913242E-2</v>
      </c>
      <c r="K69" s="7">
        <f t="shared" si="4"/>
        <v>2.8906593134405606E-2</v>
      </c>
      <c r="M69" s="5" t="str">
        <f>IF($D69=3,(SUMIFS($E:$E,$A:$A,$A69,$B:$B,$B69,$C:$C,$C69,$D:$D,1)+SUMIFS($E:$E,$A:$A,$A69,$B:$B,$B69,$C:$C,$C69,$D:$D,2)-$E69)/(SUMIFS($E:$E,$A:$A,$A69,$B:$B,$B69,$C:$C,$C69,$D:$D,1)+SUMIFS($E:$E,$A:$A,$A69,$B:$B,$B69,$C:$C,$C69,$D:$D,2)),"")</f>
        <v/>
      </c>
    </row>
    <row r="72" spans="4:21" x14ac:dyDescent="0.35">
      <c r="H72" t="s">
        <v>28</v>
      </c>
      <c r="I72" t="s">
        <v>29</v>
      </c>
    </row>
    <row r="73" spans="4:21" ht="16" x14ac:dyDescent="0.4">
      <c r="H73" s="4" t="s">
        <v>31</v>
      </c>
      <c r="I73" s="7">
        <f>F68</f>
        <v>0.29849052075680355</v>
      </c>
      <c r="J73" s="7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</row>
    <row r="74" spans="4:21" ht="16" x14ac:dyDescent="0.4">
      <c r="H74" s="4" t="s">
        <v>34</v>
      </c>
      <c r="I74" s="7">
        <f>G68</f>
        <v>0.28041651508944854</v>
      </c>
      <c r="J74" s="7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</row>
    <row r="75" spans="4:21" ht="16" x14ac:dyDescent="0.4">
      <c r="H75" s="4" t="s">
        <v>44</v>
      </c>
      <c r="I75" s="7">
        <f>H68</f>
        <v>0.25911470742789033</v>
      </c>
      <c r="J75" s="7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</row>
    <row r="76" spans="4:21" ht="16" x14ac:dyDescent="0.4">
      <c r="H76" s="4" t="s">
        <v>45</v>
      </c>
      <c r="I76" s="7">
        <f>I68</f>
        <v>9.6033007788306646E-2</v>
      </c>
      <c r="J76" s="7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</row>
    <row r="77" spans="4:21" ht="16" x14ac:dyDescent="0.4">
      <c r="H77" s="4" t="s">
        <v>32</v>
      </c>
      <c r="I77" s="7">
        <f>J68</f>
        <v>2.38557900235538E-2</v>
      </c>
      <c r="J77" s="7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</row>
    <row r="78" spans="4:21" ht="16" x14ac:dyDescent="0.4">
      <c r="H78" s="4" t="s">
        <v>33</v>
      </c>
      <c r="I78" s="7">
        <f>K68</f>
        <v>4.2089458913997436E-2</v>
      </c>
      <c r="J78" s="7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</row>
    <row r="79" spans="4:21" x14ac:dyDescent="0.35"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</row>
    <row r="80" spans="4:21" x14ac:dyDescent="0.35">
      <c r="H80" t="s">
        <v>28</v>
      </c>
      <c r="J80" t="s">
        <v>30</v>
      </c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</row>
    <row r="81" spans="8:21" ht="16" x14ac:dyDescent="0.4">
      <c r="H81" s="4" t="s">
        <v>89</v>
      </c>
      <c r="I81" s="7"/>
      <c r="J81" s="7">
        <f>F69</f>
        <v>0.30596758223800391</v>
      </c>
      <c r="K81" s="40"/>
      <c r="L81" s="39"/>
      <c r="M81" s="39"/>
      <c r="N81" s="39"/>
      <c r="O81" s="39"/>
      <c r="P81" s="39"/>
      <c r="Q81" s="39"/>
      <c r="R81" s="39"/>
      <c r="S81" s="39"/>
      <c r="T81" s="39"/>
      <c r="U81" s="39"/>
    </row>
    <row r="82" spans="8:21" ht="16" x14ac:dyDescent="0.4">
      <c r="H82" s="4" t="s">
        <v>90</v>
      </c>
      <c r="I82" s="7"/>
      <c r="J82" s="7">
        <f>G69</f>
        <v>0.29039264933627973</v>
      </c>
      <c r="K82" s="40"/>
      <c r="L82" s="39"/>
      <c r="M82" s="39"/>
      <c r="N82" s="39"/>
      <c r="O82" s="39"/>
      <c r="P82" s="39"/>
      <c r="Q82" s="39"/>
      <c r="R82" s="39"/>
      <c r="S82" s="39"/>
      <c r="T82" s="39"/>
      <c r="U82" s="39"/>
    </row>
    <row r="83" spans="8:21" ht="16" x14ac:dyDescent="0.4">
      <c r="H83" s="4" t="s">
        <v>91</v>
      </c>
      <c r="I83" s="7"/>
      <c r="J83" s="7">
        <f>H69</f>
        <v>0.22624757241347043</v>
      </c>
      <c r="K83" s="40"/>
      <c r="L83" s="39"/>
      <c r="M83" s="39"/>
      <c r="N83" s="39"/>
      <c r="O83" s="39"/>
      <c r="P83" s="39"/>
      <c r="Q83" s="39"/>
      <c r="R83" s="39"/>
      <c r="S83" s="39"/>
      <c r="T83" s="39"/>
      <c r="U83" s="39"/>
    </row>
    <row r="84" spans="8:21" ht="16" x14ac:dyDescent="0.4">
      <c r="H84" s="4" t="s">
        <v>92</v>
      </c>
      <c r="I84" s="7"/>
      <c r="J84" s="7">
        <f>I69</f>
        <v>0.13259774455992662</v>
      </c>
      <c r="K84" s="40"/>
      <c r="L84" s="39"/>
      <c r="M84" s="39"/>
      <c r="N84" s="39"/>
      <c r="O84" s="39"/>
      <c r="P84" s="39"/>
      <c r="Q84" s="39"/>
      <c r="R84" s="39"/>
      <c r="S84" s="39"/>
      <c r="T84" s="39"/>
      <c r="U84" s="39"/>
    </row>
    <row r="85" spans="8:21" ht="16" x14ac:dyDescent="0.4">
      <c r="H85" s="4" t="s">
        <v>35</v>
      </c>
      <c r="I85" s="7"/>
      <c r="J85" s="7">
        <f>J69</f>
        <v>1.5887858317913242E-2</v>
      </c>
      <c r="K85" s="40"/>
      <c r="L85" s="39"/>
      <c r="M85" s="39"/>
      <c r="N85" s="39"/>
      <c r="O85" s="39"/>
      <c r="P85" s="39"/>
      <c r="Q85" s="39"/>
      <c r="R85" s="39"/>
      <c r="S85" s="39"/>
      <c r="T85" s="39"/>
      <c r="U85" s="39"/>
    </row>
    <row r="86" spans="8:21" ht="16" x14ac:dyDescent="0.4">
      <c r="H86" s="4" t="s">
        <v>93</v>
      </c>
      <c r="I86" s="7"/>
      <c r="J86" s="7">
        <f>K69</f>
        <v>2.8906593134405606E-2</v>
      </c>
      <c r="K86" s="40"/>
      <c r="L86" s="39"/>
      <c r="M86" s="39"/>
      <c r="N86" s="39"/>
      <c r="O86" s="39"/>
      <c r="P86" s="39"/>
      <c r="Q86" s="39"/>
      <c r="R86" s="39"/>
      <c r="S86" s="39"/>
      <c r="T86" s="39"/>
      <c r="U86" s="39"/>
    </row>
    <row r="87" spans="8:21" x14ac:dyDescent="0.35"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</row>
    <row r="88" spans="8:21" x14ac:dyDescent="0.35"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</row>
    <row r="89" spans="8:21" x14ac:dyDescent="0.35"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</row>
  </sheetData>
  <phoneticPr fontId="6" type="noConversion"/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F2162-4BC5-44FE-8D05-EF03E8B1D2DB}">
  <sheetPr>
    <tabColor rgb="FFFF0000"/>
  </sheetPr>
  <dimension ref="A1:O80"/>
  <sheetViews>
    <sheetView workbookViewId="0">
      <selection activeCell="F4" sqref="F4"/>
    </sheetView>
  </sheetViews>
  <sheetFormatPr baseColWidth="10" defaultRowHeight="14.5" x14ac:dyDescent="0.35"/>
  <sheetData>
    <row r="1" spans="1:11" x14ac:dyDescent="0.35">
      <c r="A1" t="s">
        <v>68</v>
      </c>
      <c r="F1" t="s">
        <v>69</v>
      </c>
    </row>
    <row r="2" spans="1:11" x14ac:dyDescent="0.35">
      <c r="A2" t="s">
        <v>66</v>
      </c>
      <c r="F2" t="s">
        <v>67</v>
      </c>
    </row>
    <row r="3" spans="1:11" ht="29" x14ac:dyDescent="0.35">
      <c r="A3" s="10" t="s">
        <v>54</v>
      </c>
      <c r="B3" s="10" t="s">
        <v>48</v>
      </c>
      <c r="C3" s="10" t="s">
        <v>49</v>
      </c>
      <c r="F3" s="10" t="s">
        <v>54</v>
      </c>
      <c r="G3" s="9" t="s">
        <v>48</v>
      </c>
      <c r="H3" s="9" t="s">
        <v>50</v>
      </c>
      <c r="I3" s="10" t="s">
        <v>49</v>
      </c>
    </row>
    <row r="4" spans="1:11" ht="116" x14ac:dyDescent="0.35">
      <c r="A4" s="14" t="s">
        <v>55</v>
      </c>
      <c r="B4" s="14">
        <v>25</v>
      </c>
      <c r="C4" s="11" t="s">
        <v>94</v>
      </c>
      <c r="F4" s="14" t="s">
        <v>55</v>
      </c>
      <c r="G4" s="11">
        <v>27</v>
      </c>
      <c r="H4" s="11">
        <v>2</v>
      </c>
      <c r="I4" s="11" t="s">
        <v>73</v>
      </c>
      <c r="K4" s="15"/>
    </row>
    <row r="5" spans="1:11" ht="58" x14ac:dyDescent="0.35">
      <c r="A5" s="11"/>
      <c r="B5" s="14">
        <v>27</v>
      </c>
      <c r="C5" s="11" t="s">
        <v>95</v>
      </c>
      <c r="F5" s="11"/>
      <c r="G5" s="11">
        <v>29</v>
      </c>
      <c r="H5" s="11">
        <v>2</v>
      </c>
      <c r="I5" s="11" t="s">
        <v>65</v>
      </c>
    </row>
    <row r="6" spans="1:11" ht="130.5" x14ac:dyDescent="0.35">
      <c r="A6" s="11"/>
      <c r="B6" s="14">
        <v>54</v>
      </c>
      <c r="C6" s="11" t="s">
        <v>96</v>
      </c>
      <c r="F6" s="11"/>
      <c r="G6" s="11">
        <v>45</v>
      </c>
      <c r="H6" s="11">
        <v>2</v>
      </c>
      <c r="I6" s="11" t="s">
        <v>74</v>
      </c>
    </row>
    <row r="7" spans="1:11" ht="58" x14ac:dyDescent="0.35">
      <c r="B7" s="11"/>
      <c r="C7" s="11"/>
      <c r="F7" s="11"/>
      <c r="G7" s="11">
        <v>48</v>
      </c>
      <c r="H7" s="11">
        <v>2</v>
      </c>
      <c r="I7" s="11" t="s">
        <v>75</v>
      </c>
    </row>
    <row r="8" spans="1:11" ht="130.5" x14ac:dyDescent="0.35">
      <c r="A8" s="14" t="s">
        <v>56</v>
      </c>
      <c r="B8" s="14">
        <v>38</v>
      </c>
      <c r="C8" s="11" t="s">
        <v>97</v>
      </c>
      <c r="F8" s="11"/>
      <c r="G8" s="11">
        <v>55</v>
      </c>
      <c r="H8" s="11">
        <v>2</v>
      </c>
      <c r="I8" s="11" t="s">
        <v>76</v>
      </c>
    </row>
    <row r="9" spans="1:11" ht="145" x14ac:dyDescent="0.35">
      <c r="A9" s="11"/>
      <c r="B9" s="14">
        <v>54</v>
      </c>
      <c r="C9" s="11" t="s">
        <v>98</v>
      </c>
      <c r="F9" s="14" t="s">
        <v>56</v>
      </c>
      <c r="G9" s="11">
        <v>8</v>
      </c>
      <c r="H9" s="11">
        <v>1</v>
      </c>
      <c r="I9" s="11" t="s">
        <v>77</v>
      </c>
    </row>
    <row r="10" spans="1:11" ht="43.5" x14ac:dyDescent="0.35">
      <c r="B10" s="11"/>
      <c r="C10" s="11"/>
      <c r="F10" s="11"/>
      <c r="G10" s="11">
        <v>27</v>
      </c>
      <c r="H10" s="11">
        <v>1</v>
      </c>
      <c r="I10" s="11" t="s">
        <v>78</v>
      </c>
    </row>
    <row r="11" spans="1:11" ht="72.5" x14ac:dyDescent="0.35">
      <c r="A11" s="14" t="s">
        <v>27</v>
      </c>
      <c r="B11" s="14">
        <v>27</v>
      </c>
      <c r="C11" s="11" t="s">
        <v>73</v>
      </c>
      <c r="F11" s="11"/>
      <c r="G11" s="11">
        <v>29</v>
      </c>
      <c r="H11" s="11">
        <v>2</v>
      </c>
      <c r="I11" s="11" t="s">
        <v>79</v>
      </c>
    </row>
    <row r="12" spans="1:11" ht="72.5" x14ac:dyDescent="0.35">
      <c r="A12" s="11"/>
      <c r="B12" s="14">
        <v>31</v>
      </c>
      <c r="C12" s="11" t="s">
        <v>99</v>
      </c>
      <c r="F12" s="11"/>
      <c r="G12" s="11">
        <v>45</v>
      </c>
      <c r="H12" s="11">
        <v>2</v>
      </c>
      <c r="I12" s="11" t="s">
        <v>51</v>
      </c>
    </row>
    <row r="13" spans="1:11" ht="116" x14ac:dyDescent="0.35">
      <c r="B13" s="14">
        <v>54</v>
      </c>
      <c r="C13" s="11" t="s">
        <v>100</v>
      </c>
      <c r="F13" s="11"/>
      <c r="G13" s="11">
        <v>48</v>
      </c>
      <c r="H13" s="11">
        <v>2</v>
      </c>
      <c r="I13" s="11" t="s">
        <v>80</v>
      </c>
    </row>
    <row r="14" spans="1:11" ht="72.5" x14ac:dyDescent="0.35">
      <c r="B14" s="14">
        <v>55</v>
      </c>
      <c r="C14" s="11" t="s">
        <v>101</v>
      </c>
      <c r="D14" s="9"/>
      <c r="F14" s="11"/>
      <c r="G14" s="11">
        <v>51</v>
      </c>
      <c r="H14" s="11">
        <v>1</v>
      </c>
      <c r="I14" s="11" t="s">
        <v>81</v>
      </c>
    </row>
    <row r="15" spans="1:11" x14ac:dyDescent="0.35">
      <c r="D15" s="8"/>
      <c r="F15" s="14" t="s">
        <v>27</v>
      </c>
      <c r="G15" s="11">
        <v>15</v>
      </c>
      <c r="H15" s="11">
        <v>1</v>
      </c>
      <c r="I15" s="11" t="s">
        <v>82</v>
      </c>
    </row>
    <row r="16" spans="1:11" ht="29" x14ac:dyDescent="0.35">
      <c r="D16" s="8"/>
      <c r="F16" s="11"/>
      <c r="G16" s="11">
        <v>22</v>
      </c>
      <c r="H16" s="11">
        <v>1</v>
      </c>
      <c r="I16" s="11" t="s">
        <v>83</v>
      </c>
    </row>
    <row r="17" spans="1:15" ht="29" x14ac:dyDescent="0.35">
      <c r="D17" s="8"/>
      <c r="F17" s="11"/>
      <c r="G17" s="11">
        <v>23</v>
      </c>
      <c r="H17" s="11">
        <v>2</v>
      </c>
      <c r="I17" s="11" t="s">
        <v>52</v>
      </c>
    </row>
    <row r="18" spans="1:15" ht="72.5" x14ac:dyDescent="0.35">
      <c r="D18" s="8"/>
      <c r="F18" s="11"/>
      <c r="G18" s="11">
        <v>31</v>
      </c>
      <c r="H18" s="11">
        <v>3</v>
      </c>
      <c r="I18" s="11" t="s">
        <v>84</v>
      </c>
    </row>
    <row r="19" spans="1:15" x14ac:dyDescent="0.35">
      <c r="A19" s="11"/>
      <c r="B19" s="8"/>
      <c r="C19" s="8"/>
      <c r="D19" s="8"/>
      <c r="F19" s="11"/>
      <c r="G19" s="11">
        <v>39</v>
      </c>
      <c r="H19" s="11">
        <v>1</v>
      </c>
      <c r="I19" s="11" t="s">
        <v>53</v>
      </c>
    </row>
    <row r="20" spans="1:15" ht="29" x14ac:dyDescent="0.35">
      <c r="A20" s="11"/>
      <c r="B20" s="8"/>
      <c r="C20" s="8"/>
      <c r="D20" s="8"/>
      <c r="F20" s="11"/>
      <c r="G20" s="11">
        <v>42</v>
      </c>
      <c r="H20" s="11">
        <v>2</v>
      </c>
      <c r="I20" s="11" t="s">
        <v>85</v>
      </c>
      <c r="M20" t="s">
        <v>72</v>
      </c>
      <c r="N20" t="s">
        <v>71</v>
      </c>
      <c r="O20" t="s">
        <v>70</v>
      </c>
    </row>
    <row r="21" spans="1:15" ht="29" x14ac:dyDescent="0.35">
      <c r="A21" s="11"/>
      <c r="B21" s="8"/>
      <c r="C21" s="8"/>
      <c r="D21" s="8"/>
      <c r="G21" s="11">
        <v>45</v>
      </c>
      <c r="H21" s="11">
        <v>2</v>
      </c>
      <c r="I21" s="11" t="s">
        <v>86</v>
      </c>
      <c r="M21" s="12">
        <v>1</v>
      </c>
      <c r="N21">
        <v>233</v>
      </c>
      <c r="O21">
        <v>201</v>
      </c>
    </row>
    <row r="22" spans="1:15" ht="58" x14ac:dyDescent="0.35">
      <c r="A22" s="11"/>
      <c r="B22" s="8"/>
      <c r="C22" s="8"/>
      <c r="D22" s="8"/>
      <c r="G22" s="11">
        <v>48</v>
      </c>
      <c r="H22" s="11">
        <v>3</v>
      </c>
      <c r="I22" s="11" t="s">
        <v>87</v>
      </c>
      <c r="M22" s="12">
        <v>2</v>
      </c>
      <c r="N22">
        <v>485</v>
      </c>
      <c r="O22">
        <v>64</v>
      </c>
    </row>
    <row r="23" spans="1:15" ht="43.5" x14ac:dyDescent="0.35">
      <c r="A23" s="11"/>
      <c r="B23" s="8"/>
      <c r="C23" s="8"/>
      <c r="D23" s="8"/>
      <c r="G23" s="11">
        <v>51</v>
      </c>
      <c r="H23" s="11">
        <v>2</v>
      </c>
      <c r="I23" s="11" t="s">
        <v>88</v>
      </c>
      <c r="M23" s="12">
        <v>3</v>
      </c>
      <c r="N23">
        <v>355</v>
      </c>
      <c r="O23">
        <v>67</v>
      </c>
    </row>
    <row r="24" spans="1:15" x14ac:dyDescent="0.35">
      <c r="M24" s="12">
        <v>4</v>
      </c>
      <c r="N24">
        <v>488</v>
      </c>
      <c r="O24">
        <v>270</v>
      </c>
    </row>
    <row r="25" spans="1:15" x14ac:dyDescent="0.35">
      <c r="M25" s="12">
        <v>5</v>
      </c>
      <c r="N25">
        <v>395</v>
      </c>
      <c r="O25">
        <v>279</v>
      </c>
    </row>
    <row r="26" spans="1:15" x14ac:dyDescent="0.35">
      <c r="M26" s="12">
        <v>6</v>
      </c>
      <c r="N26">
        <v>489</v>
      </c>
      <c r="O26">
        <v>164</v>
      </c>
    </row>
    <row r="27" spans="1:15" x14ac:dyDescent="0.35">
      <c r="M27" s="12">
        <v>7</v>
      </c>
      <c r="N27">
        <v>274</v>
      </c>
      <c r="O27">
        <v>460</v>
      </c>
    </row>
    <row r="28" spans="1:15" x14ac:dyDescent="0.35">
      <c r="M28" s="12">
        <v>8</v>
      </c>
      <c r="N28">
        <v>34</v>
      </c>
      <c r="O28">
        <v>396</v>
      </c>
    </row>
    <row r="29" spans="1:15" x14ac:dyDescent="0.35">
      <c r="M29" s="12">
        <v>9</v>
      </c>
      <c r="N29">
        <v>329</v>
      </c>
      <c r="O29">
        <v>128</v>
      </c>
    </row>
    <row r="30" spans="1:15" x14ac:dyDescent="0.35">
      <c r="M30" s="12">
        <v>10</v>
      </c>
      <c r="N30">
        <v>162</v>
      </c>
      <c r="O30">
        <v>276</v>
      </c>
    </row>
    <row r="31" spans="1:15" x14ac:dyDescent="0.35">
      <c r="M31" s="12">
        <v>11</v>
      </c>
      <c r="N31">
        <v>221</v>
      </c>
      <c r="O31">
        <v>376</v>
      </c>
    </row>
    <row r="32" spans="1:15" x14ac:dyDescent="0.35">
      <c r="M32" s="12">
        <v>12</v>
      </c>
      <c r="N32">
        <v>184</v>
      </c>
      <c r="O32">
        <v>180</v>
      </c>
    </row>
    <row r="33" spans="13:15" x14ac:dyDescent="0.35">
      <c r="M33" s="12">
        <v>13</v>
      </c>
      <c r="N33">
        <v>468</v>
      </c>
      <c r="O33">
        <v>374</v>
      </c>
    </row>
    <row r="34" spans="13:15" x14ac:dyDescent="0.35">
      <c r="M34" s="12">
        <v>14</v>
      </c>
      <c r="N34">
        <v>213</v>
      </c>
      <c r="O34">
        <v>236</v>
      </c>
    </row>
    <row r="35" spans="13:15" x14ac:dyDescent="0.35">
      <c r="M35" s="12">
        <v>15</v>
      </c>
      <c r="N35">
        <v>6</v>
      </c>
      <c r="O35">
        <v>205</v>
      </c>
    </row>
    <row r="36" spans="13:15" x14ac:dyDescent="0.35">
      <c r="M36" s="12">
        <v>16</v>
      </c>
      <c r="N36">
        <v>40</v>
      </c>
      <c r="O36">
        <v>273</v>
      </c>
    </row>
    <row r="37" spans="13:15" x14ac:dyDescent="0.35">
      <c r="M37" s="12">
        <v>17</v>
      </c>
      <c r="N37">
        <v>294</v>
      </c>
      <c r="O37">
        <v>463</v>
      </c>
    </row>
    <row r="38" spans="13:15" x14ac:dyDescent="0.35">
      <c r="M38" s="12">
        <v>18</v>
      </c>
      <c r="N38">
        <v>223</v>
      </c>
      <c r="O38">
        <v>35</v>
      </c>
    </row>
    <row r="39" spans="13:15" x14ac:dyDescent="0.35">
      <c r="M39" s="12">
        <v>19</v>
      </c>
      <c r="N39">
        <v>18</v>
      </c>
      <c r="O39">
        <v>31</v>
      </c>
    </row>
    <row r="40" spans="13:15" x14ac:dyDescent="0.35">
      <c r="M40" s="12">
        <v>20</v>
      </c>
      <c r="N40">
        <v>176</v>
      </c>
      <c r="O40">
        <v>474</v>
      </c>
    </row>
    <row r="41" spans="13:15" x14ac:dyDescent="0.35">
      <c r="M41" s="12">
        <v>21</v>
      </c>
      <c r="N41">
        <v>134</v>
      </c>
      <c r="O41">
        <v>306</v>
      </c>
    </row>
    <row r="42" spans="13:15" x14ac:dyDescent="0.35">
      <c r="M42" s="12">
        <v>22</v>
      </c>
      <c r="N42">
        <v>88</v>
      </c>
      <c r="O42">
        <v>248</v>
      </c>
    </row>
    <row r="43" spans="13:15" x14ac:dyDescent="0.35">
      <c r="M43" s="12">
        <v>23</v>
      </c>
      <c r="N43">
        <v>479</v>
      </c>
      <c r="O43">
        <v>75</v>
      </c>
    </row>
    <row r="44" spans="13:15" x14ac:dyDescent="0.35">
      <c r="M44" s="12">
        <v>24</v>
      </c>
      <c r="N44">
        <v>482</v>
      </c>
      <c r="O44">
        <v>304</v>
      </c>
    </row>
    <row r="45" spans="13:15" x14ac:dyDescent="0.35">
      <c r="M45" s="12">
        <v>25</v>
      </c>
      <c r="N45">
        <v>352</v>
      </c>
      <c r="O45">
        <v>396</v>
      </c>
    </row>
    <row r="46" spans="13:15" x14ac:dyDescent="0.35">
      <c r="M46" s="12">
        <v>26</v>
      </c>
      <c r="N46">
        <v>409</v>
      </c>
      <c r="O46">
        <v>398</v>
      </c>
    </row>
    <row r="47" spans="13:15" x14ac:dyDescent="0.35">
      <c r="M47" s="12">
        <v>27</v>
      </c>
      <c r="N47">
        <v>436</v>
      </c>
      <c r="O47">
        <v>66</v>
      </c>
    </row>
    <row r="48" spans="13:15" x14ac:dyDescent="0.35">
      <c r="M48" s="12">
        <v>28</v>
      </c>
      <c r="N48">
        <v>117</v>
      </c>
      <c r="O48">
        <v>253</v>
      </c>
    </row>
    <row r="49" spans="13:15" x14ac:dyDescent="0.35">
      <c r="M49" s="12">
        <v>29</v>
      </c>
      <c r="N49">
        <v>409</v>
      </c>
      <c r="O49">
        <v>365</v>
      </c>
    </row>
    <row r="50" spans="13:15" x14ac:dyDescent="0.35">
      <c r="M50" s="12">
        <v>30</v>
      </c>
      <c r="N50">
        <v>298</v>
      </c>
      <c r="O50">
        <v>414</v>
      </c>
    </row>
    <row r="51" spans="13:15" x14ac:dyDescent="0.35">
      <c r="M51" s="12">
        <v>31</v>
      </c>
      <c r="N51">
        <v>422</v>
      </c>
      <c r="O51">
        <v>373</v>
      </c>
    </row>
    <row r="52" spans="13:15" x14ac:dyDescent="0.35">
      <c r="M52" s="12">
        <v>32</v>
      </c>
      <c r="N52">
        <v>6</v>
      </c>
      <c r="O52">
        <v>223</v>
      </c>
    </row>
    <row r="53" spans="13:15" x14ac:dyDescent="0.35">
      <c r="M53" s="12">
        <v>33</v>
      </c>
      <c r="N53">
        <v>102</v>
      </c>
      <c r="O53">
        <v>473</v>
      </c>
    </row>
    <row r="54" spans="13:15" x14ac:dyDescent="0.35">
      <c r="M54" s="12">
        <v>34</v>
      </c>
      <c r="N54">
        <v>210</v>
      </c>
      <c r="O54">
        <v>433</v>
      </c>
    </row>
    <row r="55" spans="13:15" x14ac:dyDescent="0.35">
      <c r="M55" s="12">
        <v>35</v>
      </c>
      <c r="N55">
        <v>467</v>
      </c>
      <c r="O55">
        <v>476</v>
      </c>
    </row>
    <row r="56" spans="13:15" x14ac:dyDescent="0.35">
      <c r="M56" s="12">
        <v>36</v>
      </c>
      <c r="N56">
        <v>187</v>
      </c>
      <c r="O56">
        <v>210</v>
      </c>
    </row>
    <row r="57" spans="13:15" x14ac:dyDescent="0.35">
      <c r="M57" s="12">
        <v>37</v>
      </c>
      <c r="N57">
        <v>37</v>
      </c>
      <c r="O57">
        <v>136</v>
      </c>
    </row>
    <row r="58" spans="13:15" x14ac:dyDescent="0.35">
      <c r="M58" s="12">
        <v>38</v>
      </c>
      <c r="N58">
        <v>370</v>
      </c>
      <c r="O58">
        <v>376</v>
      </c>
    </row>
    <row r="59" spans="13:15" x14ac:dyDescent="0.35">
      <c r="M59" s="12">
        <v>39</v>
      </c>
      <c r="N59">
        <v>334</v>
      </c>
      <c r="O59">
        <v>95</v>
      </c>
    </row>
    <row r="60" spans="13:15" x14ac:dyDescent="0.35">
      <c r="M60" s="12">
        <v>40</v>
      </c>
      <c r="N60">
        <v>499</v>
      </c>
      <c r="O60">
        <v>8</v>
      </c>
    </row>
    <row r="61" spans="13:15" x14ac:dyDescent="0.35">
      <c r="M61" s="12">
        <v>41</v>
      </c>
      <c r="N61">
        <v>187</v>
      </c>
      <c r="O61">
        <v>178</v>
      </c>
    </row>
    <row r="62" spans="13:15" x14ac:dyDescent="0.35">
      <c r="M62" s="12">
        <v>42</v>
      </c>
      <c r="N62">
        <v>38</v>
      </c>
      <c r="O62">
        <v>387</v>
      </c>
    </row>
    <row r="63" spans="13:15" x14ac:dyDescent="0.35">
      <c r="M63" s="12">
        <v>43</v>
      </c>
      <c r="N63">
        <v>482</v>
      </c>
      <c r="O63">
        <v>324</v>
      </c>
    </row>
    <row r="64" spans="13:15" x14ac:dyDescent="0.35">
      <c r="M64" s="12">
        <v>44</v>
      </c>
      <c r="N64">
        <v>84</v>
      </c>
      <c r="O64">
        <v>426</v>
      </c>
    </row>
    <row r="65" spans="13:15" x14ac:dyDescent="0.35">
      <c r="M65" s="12">
        <v>45</v>
      </c>
      <c r="N65">
        <v>41</v>
      </c>
      <c r="O65">
        <v>155</v>
      </c>
    </row>
    <row r="66" spans="13:15" x14ac:dyDescent="0.35">
      <c r="M66" s="12">
        <v>46</v>
      </c>
      <c r="N66">
        <v>436</v>
      </c>
      <c r="O66">
        <v>21</v>
      </c>
    </row>
    <row r="67" spans="13:15" x14ac:dyDescent="0.35">
      <c r="M67" s="12">
        <v>47</v>
      </c>
      <c r="N67">
        <v>246</v>
      </c>
      <c r="O67">
        <v>141</v>
      </c>
    </row>
    <row r="68" spans="13:15" x14ac:dyDescent="0.35">
      <c r="M68" s="12">
        <v>48</v>
      </c>
      <c r="N68">
        <v>205</v>
      </c>
      <c r="O68">
        <v>198</v>
      </c>
    </row>
    <row r="69" spans="13:15" x14ac:dyDescent="0.35">
      <c r="M69" s="12">
        <v>49</v>
      </c>
      <c r="N69">
        <v>166</v>
      </c>
      <c r="O69">
        <v>5</v>
      </c>
    </row>
    <row r="70" spans="13:15" x14ac:dyDescent="0.35">
      <c r="M70" s="12">
        <v>50</v>
      </c>
      <c r="N70">
        <v>400</v>
      </c>
      <c r="O70">
        <v>457</v>
      </c>
    </row>
    <row r="71" spans="13:15" x14ac:dyDescent="0.35">
      <c r="M71" s="12">
        <v>51</v>
      </c>
      <c r="N71">
        <v>253</v>
      </c>
      <c r="O71">
        <v>412</v>
      </c>
    </row>
    <row r="72" spans="13:15" x14ac:dyDescent="0.35">
      <c r="M72" s="12">
        <v>52</v>
      </c>
      <c r="N72">
        <v>382</v>
      </c>
      <c r="O72">
        <v>335</v>
      </c>
    </row>
    <row r="73" spans="13:15" x14ac:dyDescent="0.35">
      <c r="M73" s="12">
        <v>53</v>
      </c>
      <c r="N73">
        <v>117</v>
      </c>
      <c r="O73">
        <v>171</v>
      </c>
    </row>
    <row r="74" spans="13:15" x14ac:dyDescent="0.35">
      <c r="M74" s="12">
        <v>54</v>
      </c>
      <c r="N74">
        <v>109</v>
      </c>
      <c r="O74">
        <v>212</v>
      </c>
    </row>
    <row r="75" spans="13:15" x14ac:dyDescent="0.35">
      <c r="M75" s="12">
        <v>55</v>
      </c>
      <c r="N75">
        <v>206</v>
      </c>
      <c r="O75">
        <v>442</v>
      </c>
    </row>
    <row r="76" spans="13:15" x14ac:dyDescent="0.35">
      <c r="M76" s="12">
        <v>56</v>
      </c>
      <c r="N76">
        <v>25</v>
      </c>
      <c r="O76">
        <v>129</v>
      </c>
    </row>
    <row r="77" spans="13:15" x14ac:dyDescent="0.35">
      <c r="M77" s="12">
        <v>57</v>
      </c>
      <c r="N77">
        <v>180</v>
      </c>
      <c r="O77">
        <v>500</v>
      </c>
    </row>
    <row r="78" spans="13:15" x14ac:dyDescent="0.35">
      <c r="M78" s="12">
        <v>58</v>
      </c>
      <c r="N78">
        <v>253</v>
      </c>
      <c r="O78">
        <v>169</v>
      </c>
    </row>
    <row r="79" spans="13:15" x14ac:dyDescent="0.35">
      <c r="M79" s="12">
        <v>59</v>
      </c>
      <c r="N79">
        <v>280</v>
      </c>
      <c r="O79">
        <v>275</v>
      </c>
    </row>
    <row r="80" spans="13:15" x14ac:dyDescent="0.35">
      <c r="M80" s="12">
        <v>60</v>
      </c>
      <c r="N80">
        <v>18</v>
      </c>
      <c r="O80">
        <v>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1F04-F576-4248-AAE9-C420A46F8DE9}">
  <sheetPr>
    <tabColor rgb="FFFF0000"/>
  </sheetPr>
  <dimension ref="A1:T41"/>
  <sheetViews>
    <sheetView topLeftCell="J1" workbookViewId="0">
      <selection activeCell="L20" sqref="L20"/>
    </sheetView>
  </sheetViews>
  <sheetFormatPr baseColWidth="10" defaultColWidth="11.453125" defaultRowHeight="14.5" x14ac:dyDescent="0.35"/>
  <cols>
    <col min="1" max="1" width="6.6328125" bestFit="1" customWidth="1"/>
    <col min="2" max="2" width="9.6328125" bestFit="1" customWidth="1"/>
    <col min="3" max="3" width="10.453125" bestFit="1" customWidth="1"/>
    <col min="4" max="4" width="11.81640625" bestFit="1" customWidth="1"/>
    <col min="5" max="5" width="14.26953125" bestFit="1" customWidth="1"/>
    <col min="6" max="6" width="19.54296875" bestFit="1" customWidth="1"/>
    <col min="7" max="7" width="19" bestFit="1" customWidth="1"/>
    <col min="8" max="8" width="14.90625" bestFit="1" customWidth="1"/>
    <col min="9" max="9" width="24.7265625" bestFit="1" customWidth="1"/>
    <col min="10" max="10" width="20.6328125" bestFit="1" customWidth="1"/>
    <col min="11" max="11" width="15.6328125" bestFit="1" customWidth="1"/>
    <col min="12" max="15" width="22.81640625" bestFit="1" customWidth="1"/>
    <col min="16" max="16" width="13.81640625" bestFit="1" customWidth="1"/>
    <col min="17" max="17" width="10.26953125" bestFit="1" customWidth="1"/>
    <col min="18" max="18" width="10.453125" bestFit="1" customWidth="1"/>
    <col min="19" max="19" width="11.81640625" bestFit="1" customWidth="1"/>
    <col min="20" max="20" width="13.08984375" bestFit="1" customWidth="1"/>
  </cols>
  <sheetData>
    <row r="1" spans="1:20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42</v>
      </c>
      <c r="P1" t="s">
        <v>15</v>
      </c>
      <c r="Q1" t="s">
        <v>16</v>
      </c>
      <c r="R1" t="s">
        <v>17</v>
      </c>
      <c r="S1" t="s">
        <v>18</v>
      </c>
      <c r="T1" t="s">
        <v>36</v>
      </c>
    </row>
    <row r="2" spans="1:20" x14ac:dyDescent="0.35">
      <c r="A2">
        <v>1</v>
      </c>
      <c r="B2">
        <v>10</v>
      </c>
      <c r="C2">
        <v>1</v>
      </c>
      <c r="D2">
        <v>32585.849203110211</v>
      </c>
      <c r="E2">
        <v>13500</v>
      </c>
      <c r="F2">
        <v>9500.267722206032</v>
      </c>
      <c r="G2">
        <v>5879.1918123456335</v>
      </c>
      <c r="H2">
        <v>2118.6615460804628</v>
      </c>
      <c r="I2">
        <v>635.74997921666272</v>
      </c>
      <c r="J2">
        <v>951.97814326137063</v>
      </c>
      <c r="K2">
        <v>4</v>
      </c>
      <c r="L2">
        <v>0</v>
      </c>
      <c r="M2">
        <v>3</v>
      </c>
      <c r="N2">
        <v>1</v>
      </c>
      <c r="O2">
        <v>0</v>
      </c>
      <c r="P2">
        <v>0.8453524919376858</v>
      </c>
      <c r="R2">
        <v>182</v>
      </c>
      <c r="S2">
        <v>1.4775276240489897E-2</v>
      </c>
      <c r="T2" t="s">
        <v>26</v>
      </c>
    </row>
    <row r="3" spans="1:20" x14ac:dyDescent="0.35">
      <c r="A3">
        <v>1</v>
      </c>
      <c r="B3">
        <v>10</v>
      </c>
      <c r="C3">
        <v>2</v>
      </c>
      <c r="D3">
        <v>32100.865497793722</v>
      </c>
      <c r="E3">
        <v>12500</v>
      </c>
      <c r="F3">
        <v>10108.635251454451</v>
      </c>
      <c r="G3">
        <v>5860.0059920657804</v>
      </c>
      <c r="H3">
        <v>2041.5342612829561</v>
      </c>
      <c r="I3">
        <v>635.74997921666295</v>
      </c>
      <c r="J3">
        <v>954.94001377400502</v>
      </c>
      <c r="K3">
        <v>4</v>
      </c>
      <c r="L3">
        <v>1</v>
      </c>
      <c r="M3">
        <v>2</v>
      </c>
      <c r="N3">
        <v>1</v>
      </c>
      <c r="O3">
        <v>0</v>
      </c>
      <c r="P3">
        <v>0.84259381668075939</v>
      </c>
      <c r="R3">
        <v>230</v>
      </c>
      <c r="S3">
        <v>1.9795664205262371E-2</v>
      </c>
      <c r="T3" t="s">
        <v>26</v>
      </c>
    </row>
    <row r="4" spans="1:20" x14ac:dyDescent="0.35">
      <c r="A4">
        <v>1</v>
      </c>
      <c r="B4">
        <v>40</v>
      </c>
      <c r="C4">
        <v>1</v>
      </c>
      <c r="D4">
        <v>31841.179708947035</v>
      </c>
      <c r="E4">
        <v>13500</v>
      </c>
      <c r="F4">
        <v>7487.027184054381</v>
      </c>
      <c r="G4">
        <v>7140.931157684895</v>
      </c>
      <c r="H4">
        <v>2120.4394834310865</v>
      </c>
      <c r="I4">
        <v>635.74997921666318</v>
      </c>
      <c r="J4">
        <v>957.03190455988499</v>
      </c>
      <c r="K4">
        <v>4</v>
      </c>
      <c r="L4">
        <v>0</v>
      </c>
      <c r="M4">
        <v>3</v>
      </c>
      <c r="N4">
        <v>1</v>
      </c>
      <c r="O4">
        <v>0</v>
      </c>
      <c r="P4">
        <v>0.62912653272731922</v>
      </c>
      <c r="R4">
        <v>902</v>
      </c>
      <c r="S4">
        <v>2.1275703337900458E-2</v>
      </c>
      <c r="T4" t="s">
        <v>26</v>
      </c>
    </row>
    <row r="5" spans="1:20" x14ac:dyDescent="0.35">
      <c r="A5">
        <v>1</v>
      </c>
      <c r="B5">
        <v>40</v>
      </c>
      <c r="C5">
        <v>2</v>
      </c>
      <c r="D5">
        <v>30840.109825697509</v>
      </c>
      <c r="E5">
        <v>12500</v>
      </c>
      <c r="F5">
        <v>7664.1830063479092</v>
      </c>
      <c r="G5">
        <v>7042.7361980202932</v>
      </c>
      <c r="H5">
        <v>2043.447628700467</v>
      </c>
      <c r="I5">
        <v>635.74997921666295</v>
      </c>
      <c r="J5">
        <v>953.9930134122236</v>
      </c>
      <c r="K5">
        <v>4</v>
      </c>
      <c r="L5">
        <v>1</v>
      </c>
      <c r="M5">
        <v>2</v>
      </c>
      <c r="N5">
        <v>1</v>
      </c>
      <c r="O5">
        <v>0</v>
      </c>
      <c r="P5">
        <v>0.6204754124264874</v>
      </c>
      <c r="R5">
        <v>446</v>
      </c>
      <c r="S5">
        <v>8.2069610246559843E-3</v>
      </c>
      <c r="T5" t="s">
        <v>26</v>
      </c>
    </row>
    <row r="6" spans="1:20" x14ac:dyDescent="0.35">
      <c r="A6">
        <v>1</v>
      </c>
      <c r="B6">
        <v>70</v>
      </c>
      <c r="C6">
        <v>1</v>
      </c>
      <c r="D6">
        <v>31690.128542150069</v>
      </c>
      <c r="E6">
        <v>9750</v>
      </c>
      <c r="F6">
        <v>9735.678563548563</v>
      </c>
      <c r="G6">
        <v>9455.7139628372952</v>
      </c>
      <c r="H6">
        <v>1454.8587788208147</v>
      </c>
      <c r="I6">
        <v>635.74997937761145</v>
      </c>
      <c r="J6">
        <v>658.12518786138639</v>
      </c>
      <c r="K6">
        <v>2</v>
      </c>
      <c r="L6">
        <v>0</v>
      </c>
      <c r="M6">
        <v>1</v>
      </c>
      <c r="N6">
        <v>0</v>
      </c>
      <c r="O6">
        <v>1</v>
      </c>
      <c r="P6">
        <v>0.61972060336603485</v>
      </c>
      <c r="R6">
        <v>213</v>
      </c>
      <c r="S6">
        <v>1.9716209476030901E-2</v>
      </c>
      <c r="T6" t="s">
        <v>26</v>
      </c>
    </row>
    <row r="7" spans="1:20" x14ac:dyDescent="0.35">
      <c r="A7">
        <v>1</v>
      </c>
      <c r="B7">
        <v>70</v>
      </c>
      <c r="C7">
        <v>2</v>
      </c>
      <c r="D7">
        <v>30849.812444438347</v>
      </c>
      <c r="E7">
        <v>12500</v>
      </c>
      <c r="F7">
        <v>7340.549165026443</v>
      </c>
      <c r="G7">
        <v>7378.2291092095811</v>
      </c>
      <c r="H7">
        <v>2040.6907098836723</v>
      </c>
      <c r="I7">
        <v>635.74997921666306</v>
      </c>
      <c r="J7">
        <v>954.59348110189478</v>
      </c>
      <c r="K7">
        <v>4</v>
      </c>
      <c r="L7">
        <v>1</v>
      </c>
      <c r="M7">
        <v>2</v>
      </c>
      <c r="N7">
        <v>1</v>
      </c>
      <c r="O7">
        <v>0</v>
      </c>
      <c r="P7">
        <v>0.48356374936877417</v>
      </c>
      <c r="R7">
        <v>113</v>
      </c>
      <c r="S7">
        <v>1.5382283037095133E-2</v>
      </c>
      <c r="T7" t="s">
        <v>26</v>
      </c>
    </row>
    <row r="8" spans="1:20" x14ac:dyDescent="0.35">
      <c r="A8">
        <v>1</v>
      </c>
      <c r="B8">
        <v>100</v>
      </c>
      <c r="C8">
        <v>1</v>
      </c>
      <c r="D8">
        <v>31638.367421927345</v>
      </c>
      <c r="E8">
        <v>9750</v>
      </c>
      <c r="F8">
        <v>9554.7768739332259</v>
      </c>
      <c r="G8">
        <v>9584.858189539771</v>
      </c>
      <c r="H8">
        <v>1454.8580856391404</v>
      </c>
      <c r="I8">
        <v>635.74997921666295</v>
      </c>
      <c r="J8">
        <v>658.12429359855355</v>
      </c>
      <c r="K8">
        <v>2</v>
      </c>
      <c r="L8">
        <v>0</v>
      </c>
      <c r="M8">
        <v>1</v>
      </c>
      <c r="N8">
        <v>0</v>
      </c>
      <c r="O8">
        <v>1</v>
      </c>
      <c r="P8">
        <v>0.35941483309493827</v>
      </c>
      <c r="R8">
        <v>149</v>
      </c>
      <c r="S8">
        <v>1.990687837678801E-2</v>
      </c>
      <c r="T8" t="s">
        <v>26</v>
      </c>
    </row>
    <row r="9" spans="1:20" x14ac:dyDescent="0.35">
      <c r="A9">
        <v>1</v>
      </c>
      <c r="B9">
        <v>100</v>
      </c>
      <c r="C9">
        <v>2</v>
      </c>
      <c r="D9">
        <v>30821.745392347853</v>
      </c>
      <c r="E9">
        <v>12500</v>
      </c>
      <c r="F9">
        <v>7323.6766757305086</v>
      </c>
      <c r="G9">
        <v>7368.2023520205248</v>
      </c>
      <c r="H9">
        <v>2041.5854545579043</v>
      </c>
      <c r="I9">
        <v>635.74997921666306</v>
      </c>
      <c r="J9">
        <v>952.53093082214548</v>
      </c>
      <c r="K9">
        <v>4</v>
      </c>
      <c r="L9">
        <v>1</v>
      </c>
      <c r="M9">
        <v>2</v>
      </c>
      <c r="N9">
        <v>1</v>
      </c>
      <c r="O9">
        <v>0</v>
      </c>
      <c r="P9">
        <v>0.27629425143204411</v>
      </c>
      <c r="R9">
        <v>483</v>
      </c>
      <c r="S9">
        <v>1.0518402691254817E-2</v>
      </c>
      <c r="T9" t="s">
        <v>26</v>
      </c>
    </row>
    <row r="10" spans="1:20" x14ac:dyDescent="0.35">
      <c r="A10">
        <v>2</v>
      </c>
      <c r="B10">
        <v>10</v>
      </c>
      <c r="C10">
        <v>1</v>
      </c>
      <c r="D10">
        <v>31060.999623742886</v>
      </c>
      <c r="E10">
        <v>12500</v>
      </c>
      <c r="F10">
        <v>9544.492186182586</v>
      </c>
      <c r="G10">
        <v>5805.4328813927023</v>
      </c>
      <c r="H10">
        <v>2030.7817255480525</v>
      </c>
      <c r="I10">
        <v>465.72808319977071</v>
      </c>
      <c r="J10">
        <v>714.56474741985903</v>
      </c>
      <c r="K10">
        <v>4</v>
      </c>
      <c r="L10">
        <v>1</v>
      </c>
      <c r="M10">
        <v>2</v>
      </c>
      <c r="N10">
        <v>1</v>
      </c>
      <c r="O10">
        <v>0</v>
      </c>
      <c r="P10">
        <v>0.85457473283275542</v>
      </c>
      <c r="R10">
        <v>170</v>
      </c>
      <c r="S10">
        <v>1.1851275709831072E-2</v>
      </c>
      <c r="T10" t="s">
        <v>26</v>
      </c>
    </row>
    <row r="11" spans="1:20" x14ac:dyDescent="0.35">
      <c r="A11">
        <v>2</v>
      </c>
      <c r="B11">
        <v>10</v>
      </c>
      <c r="C11">
        <v>2</v>
      </c>
      <c r="D11">
        <v>30600.020914674042</v>
      </c>
      <c r="E11">
        <v>13500</v>
      </c>
      <c r="F11">
        <v>8073.1898677769941</v>
      </c>
      <c r="G11">
        <v>5612.7039074295217</v>
      </c>
      <c r="H11">
        <v>2181.2992851857398</v>
      </c>
      <c r="I11">
        <v>465.72808319977065</v>
      </c>
      <c r="J11">
        <v>767.09977108184898</v>
      </c>
      <c r="K11">
        <v>5</v>
      </c>
      <c r="L11">
        <v>3</v>
      </c>
      <c r="M11">
        <v>1</v>
      </c>
      <c r="N11">
        <v>1</v>
      </c>
      <c r="O11">
        <v>0</v>
      </c>
      <c r="P11">
        <v>0.82620452947348333</v>
      </c>
      <c r="R11">
        <v>901</v>
      </c>
      <c r="S11">
        <v>2.6784054255725623E-2</v>
      </c>
      <c r="T11" t="s">
        <v>26</v>
      </c>
    </row>
    <row r="12" spans="1:20" x14ac:dyDescent="0.35">
      <c r="A12">
        <v>2</v>
      </c>
      <c r="B12">
        <v>40</v>
      </c>
      <c r="C12">
        <v>1</v>
      </c>
      <c r="D12">
        <v>30022.155585863646</v>
      </c>
      <c r="E12">
        <v>11000</v>
      </c>
      <c r="F12">
        <v>8333.3442954839993</v>
      </c>
      <c r="G12">
        <v>7860.8546809222598</v>
      </c>
      <c r="H12">
        <v>1742.2556585197158</v>
      </c>
      <c r="I12">
        <v>465.72808319977065</v>
      </c>
      <c r="J12">
        <v>619.97286773775193</v>
      </c>
      <c r="K12">
        <v>3</v>
      </c>
      <c r="L12">
        <v>1</v>
      </c>
      <c r="M12">
        <v>0</v>
      </c>
      <c r="N12">
        <v>2</v>
      </c>
      <c r="O12">
        <v>0</v>
      </c>
      <c r="P12">
        <v>0.71559449871373648</v>
      </c>
      <c r="R12">
        <v>417</v>
      </c>
      <c r="S12">
        <v>9.0037838805636372E-3</v>
      </c>
      <c r="T12" t="s">
        <v>26</v>
      </c>
    </row>
    <row r="13" spans="1:20" x14ac:dyDescent="0.35">
      <c r="A13">
        <v>2</v>
      </c>
      <c r="B13">
        <v>40</v>
      </c>
      <c r="C13">
        <v>2</v>
      </c>
      <c r="D13">
        <v>29670.626650926217</v>
      </c>
      <c r="E13">
        <v>11000</v>
      </c>
      <c r="F13">
        <v>8389.5758648868741</v>
      </c>
      <c r="G13">
        <v>7491.2650952730746</v>
      </c>
      <c r="H13">
        <v>1692.2956197152275</v>
      </c>
      <c r="I13">
        <v>465.72808319977071</v>
      </c>
      <c r="J13">
        <v>631.7619878514364</v>
      </c>
      <c r="K13">
        <v>3</v>
      </c>
      <c r="L13">
        <v>1</v>
      </c>
      <c r="M13">
        <v>0</v>
      </c>
      <c r="N13">
        <v>2</v>
      </c>
      <c r="O13">
        <v>0</v>
      </c>
      <c r="P13">
        <v>0.68194977622391462</v>
      </c>
      <c r="R13">
        <v>901</v>
      </c>
      <c r="S13">
        <v>2.6111330698192579E-2</v>
      </c>
      <c r="T13" t="s">
        <v>26</v>
      </c>
    </row>
    <row r="14" spans="1:20" x14ac:dyDescent="0.35">
      <c r="A14">
        <v>2</v>
      </c>
      <c r="B14">
        <v>70</v>
      </c>
      <c r="C14">
        <v>1</v>
      </c>
      <c r="D14">
        <v>30017.311905054714</v>
      </c>
      <c r="E14">
        <v>11000</v>
      </c>
      <c r="F14">
        <v>8086.3490237039005</v>
      </c>
      <c r="G14">
        <v>8105.1527357644518</v>
      </c>
      <c r="H14">
        <v>1744.3317595545436</v>
      </c>
      <c r="I14">
        <v>465.72808319977065</v>
      </c>
      <c r="J14">
        <v>615.75030283208605</v>
      </c>
      <c r="K14">
        <v>3</v>
      </c>
      <c r="L14">
        <v>1</v>
      </c>
      <c r="M14">
        <v>0</v>
      </c>
      <c r="N14">
        <v>2</v>
      </c>
      <c r="O14">
        <v>0</v>
      </c>
      <c r="P14">
        <v>0.55623587824855769</v>
      </c>
      <c r="R14">
        <v>223</v>
      </c>
      <c r="S14">
        <v>1.1960262121641354E-2</v>
      </c>
      <c r="T14" t="s">
        <v>26</v>
      </c>
    </row>
    <row r="15" spans="1:20" x14ac:dyDescent="0.35">
      <c r="A15">
        <v>2</v>
      </c>
      <c r="B15">
        <v>70</v>
      </c>
      <c r="C15">
        <v>2</v>
      </c>
      <c r="D15">
        <v>29314.721365058918</v>
      </c>
      <c r="E15">
        <v>11000</v>
      </c>
      <c r="F15">
        <v>7831.1004168026529</v>
      </c>
      <c r="G15">
        <v>7697.4900818610768</v>
      </c>
      <c r="H15">
        <v>1692.1442687397034</v>
      </c>
      <c r="I15">
        <v>465.72808319977082</v>
      </c>
      <c r="J15">
        <v>628.25851445564001</v>
      </c>
      <c r="K15">
        <v>3</v>
      </c>
      <c r="L15">
        <v>1</v>
      </c>
      <c r="M15">
        <v>0</v>
      </c>
      <c r="N15">
        <v>2</v>
      </c>
      <c r="O15">
        <v>0</v>
      </c>
      <c r="P15">
        <v>0.5282590341697897</v>
      </c>
      <c r="R15">
        <v>634</v>
      </c>
      <c r="S15">
        <v>1.8506684930134722E-2</v>
      </c>
      <c r="T15" t="s">
        <v>26</v>
      </c>
    </row>
    <row r="16" spans="1:20" x14ac:dyDescent="0.35">
      <c r="A16">
        <v>2</v>
      </c>
      <c r="B16">
        <v>100</v>
      </c>
      <c r="C16">
        <v>1</v>
      </c>
      <c r="D16">
        <v>29936.877576218347</v>
      </c>
      <c r="E16">
        <v>11000</v>
      </c>
      <c r="F16">
        <v>8030.6104590964542</v>
      </c>
      <c r="G16">
        <v>8079.0312903260528</v>
      </c>
      <c r="H16">
        <v>1742.3737762716444</v>
      </c>
      <c r="I16">
        <v>465.72808319977071</v>
      </c>
      <c r="J16">
        <v>619.13396732453225</v>
      </c>
      <c r="K16">
        <v>3</v>
      </c>
      <c r="L16">
        <v>1</v>
      </c>
      <c r="M16">
        <v>0</v>
      </c>
      <c r="N16">
        <v>2</v>
      </c>
      <c r="O16">
        <v>0</v>
      </c>
      <c r="P16">
        <v>0.30244281973877335</v>
      </c>
      <c r="R16">
        <v>106</v>
      </c>
      <c r="S16">
        <v>8.3881036116208139E-3</v>
      </c>
      <c r="T16" t="s">
        <v>26</v>
      </c>
    </row>
    <row r="17" spans="1:20" x14ac:dyDescent="0.35">
      <c r="A17">
        <v>2</v>
      </c>
      <c r="B17">
        <v>100</v>
      </c>
      <c r="C17">
        <v>2</v>
      </c>
      <c r="D17">
        <v>29306.392739388539</v>
      </c>
      <c r="E17">
        <v>11000</v>
      </c>
      <c r="F17">
        <v>7735.5427941152557</v>
      </c>
      <c r="G17">
        <v>7785.6790260980342</v>
      </c>
      <c r="H17">
        <v>1691.0656454219047</v>
      </c>
      <c r="I17">
        <v>465.72808319977071</v>
      </c>
      <c r="J17">
        <v>628.37719055350715</v>
      </c>
      <c r="K17">
        <v>3</v>
      </c>
      <c r="L17">
        <v>1</v>
      </c>
      <c r="M17">
        <v>0</v>
      </c>
      <c r="N17">
        <v>2</v>
      </c>
      <c r="O17">
        <v>0</v>
      </c>
      <c r="P17">
        <v>0.29146102219627429</v>
      </c>
      <c r="R17">
        <v>446</v>
      </c>
      <c r="S17">
        <v>1.990754241733712E-2</v>
      </c>
      <c r="T17" t="s">
        <v>26</v>
      </c>
    </row>
    <row r="18" spans="1:20" x14ac:dyDescent="0.35">
      <c r="A18">
        <v>3</v>
      </c>
      <c r="B18">
        <v>10</v>
      </c>
      <c r="C18">
        <v>1</v>
      </c>
      <c r="D18">
        <v>31444.831942168446</v>
      </c>
      <c r="E18">
        <v>11000</v>
      </c>
      <c r="F18">
        <v>11368.319081569069</v>
      </c>
      <c r="G18">
        <v>5957.9700324389441</v>
      </c>
      <c r="H18">
        <v>1742.9363664254606</v>
      </c>
      <c r="I18">
        <v>582.49031106261259</v>
      </c>
      <c r="J18">
        <v>793.11615067232617</v>
      </c>
      <c r="K18">
        <v>3</v>
      </c>
      <c r="L18">
        <v>1</v>
      </c>
      <c r="M18">
        <v>0</v>
      </c>
      <c r="N18">
        <v>2</v>
      </c>
      <c r="O18">
        <v>0</v>
      </c>
      <c r="P18">
        <v>0.89626451284680575</v>
      </c>
      <c r="R18">
        <v>901</v>
      </c>
      <c r="S18">
        <v>2.3163398894829806E-2</v>
      </c>
      <c r="T18" t="s">
        <v>26</v>
      </c>
    </row>
    <row r="19" spans="1:20" x14ac:dyDescent="0.35">
      <c r="A19">
        <v>3</v>
      </c>
      <c r="B19">
        <v>10</v>
      </c>
      <c r="C19">
        <v>2</v>
      </c>
      <c r="D19">
        <v>31202.730034492484</v>
      </c>
      <c r="E19">
        <v>12500</v>
      </c>
      <c r="F19">
        <v>9504.0504742808425</v>
      </c>
      <c r="G19">
        <v>5665.207823710788</v>
      </c>
      <c r="H19">
        <v>2028.4819202687136</v>
      </c>
      <c r="I19">
        <v>582.49031106261259</v>
      </c>
      <c r="J19">
        <v>922.4995051694483</v>
      </c>
      <c r="K19">
        <v>4</v>
      </c>
      <c r="L19">
        <v>1</v>
      </c>
      <c r="M19">
        <v>2</v>
      </c>
      <c r="N19">
        <v>1</v>
      </c>
      <c r="O19">
        <v>0</v>
      </c>
      <c r="P19">
        <v>0.85222394584880712</v>
      </c>
      <c r="R19">
        <v>627</v>
      </c>
      <c r="S19">
        <v>1.9385390661805616E-2</v>
      </c>
      <c r="T19" t="s">
        <v>26</v>
      </c>
    </row>
    <row r="20" spans="1:20" x14ac:dyDescent="0.35">
      <c r="A20">
        <v>3</v>
      </c>
      <c r="B20">
        <v>40</v>
      </c>
      <c r="C20">
        <v>1</v>
      </c>
      <c r="D20">
        <v>30186.543810504296</v>
      </c>
      <c r="E20">
        <v>11000</v>
      </c>
      <c r="F20">
        <v>8480.0802285766258</v>
      </c>
      <c r="G20">
        <v>7588.0347612283531</v>
      </c>
      <c r="H20">
        <v>1742.1814526227085</v>
      </c>
      <c r="I20">
        <v>582.49031106261259</v>
      </c>
      <c r="J20">
        <v>793.75705701410891</v>
      </c>
      <c r="K20">
        <v>3</v>
      </c>
      <c r="L20">
        <v>1</v>
      </c>
      <c r="M20">
        <v>0</v>
      </c>
      <c r="N20">
        <v>2</v>
      </c>
      <c r="O20">
        <v>0</v>
      </c>
      <c r="P20">
        <v>0.71601074134357845</v>
      </c>
      <c r="R20">
        <v>902</v>
      </c>
      <c r="S20">
        <v>2.0797313480826442E-2</v>
      </c>
      <c r="T20" t="s">
        <v>26</v>
      </c>
    </row>
    <row r="21" spans="1:20" x14ac:dyDescent="0.35">
      <c r="A21">
        <v>3</v>
      </c>
      <c r="B21">
        <v>40</v>
      </c>
      <c r="C21">
        <v>2</v>
      </c>
      <c r="D21">
        <v>30252.094418085551</v>
      </c>
      <c r="E21">
        <v>11000</v>
      </c>
      <c r="F21">
        <v>8590.3286926484307</v>
      </c>
      <c r="G21">
        <v>7560.5950026029459</v>
      </c>
      <c r="H21">
        <v>1738.733054277968</v>
      </c>
      <c r="I21">
        <v>582.49031106261259</v>
      </c>
      <c r="J21">
        <v>779.94735749353424</v>
      </c>
      <c r="K21">
        <v>3</v>
      </c>
      <c r="L21">
        <v>1</v>
      </c>
      <c r="M21">
        <v>0</v>
      </c>
      <c r="N21">
        <v>2</v>
      </c>
      <c r="O21">
        <v>0</v>
      </c>
      <c r="P21">
        <v>0.713421512045888</v>
      </c>
      <c r="R21">
        <v>904</v>
      </c>
      <c r="S21">
        <v>2.2196284631803356E-2</v>
      </c>
      <c r="T21" t="s">
        <v>26</v>
      </c>
    </row>
    <row r="22" spans="1:20" x14ac:dyDescent="0.35">
      <c r="A22">
        <v>3</v>
      </c>
      <c r="B22">
        <v>70</v>
      </c>
      <c r="C22">
        <v>1</v>
      </c>
      <c r="D22">
        <v>30020.983885966933</v>
      </c>
      <c r="E22">
        <v>11000</v>
      </c>
      <c r="F22">
        <v>7976.02992864728</v>
      </c>
      <c r="G22">
        <v>7939.0808914980807</v>
      </c>
      <c r="H22">
        <v>1736.4078944315581</v>
      </c>
      <c r="I22">
        <v>582.49031106261259</v>
      </c>
      <c r="J22">
        <v>786.97486032729864</v>
      </c>
      <c r="K22">
        <v>3</v>
      </c>
      <c r="L22">
        <v>1</v>
      </c>
      <c r="M22">
        <v>0</v>
      </c>
      <c r="N22">
        <v>2</v>
      </c>
      <c r="O22">
        <v>0</v>
      </c>
      <c r="P22">
        <v>0.55999996725343681</v>
      </c>
      <c r="R22">
        <v>324</v>
      </c>
      <c r="S22">
        <v>1.9690682820768926E-2</v>
      </c>
      <c r="T22" t="s">
        <v>26</v>
      </c>
    </row>
    <row r="23" spans="1:20" x14ac:dyDescent="0.35">
      <c r="A23">
        <v>3</v>
      </c>
      <c r="B23">
        <v>70</v>
      </c>
      <c r="C23">
        <v>2</v>
      </c>
      <c r="D23">
        <v>30274.830877875291</v>
      </c>
      <c r="E23">
        <v>11000</v>
      </c>
      <c r="F23">
        <v>8087.6147053030345</v>
      </c>
      <c r="G23">
        <v>8073.3599442879986</v>
      </c>
      <c r="H23">
        <v>1737.9871113255601</v>
      </c>
      <c r="I23">
        <v>582.49031106261259</v>
      </c>
      <c r="J23">
        <v>793.37880589591953</v>
      </c>
      <c r="K23">
        <v>3</v>
      </c>
      <c r="L23">
        <v>1</v>
      </c>
      <c r="M23">
        <v>0</v>
      </c>
      <c r="N23">
        <v>2</v>
      </c>
      <c r="O23">
        <v>0</v>
      </c>
      <c r="P23">
        <v>0.56947162602513468</v>
      </c>
      <c r="R23">
        <v>902</v>
      </c>
      <c r="S23">
        <v>2.5904131188942563E-2</v>
      </c>
      <c r="T23" t="s">
        <v>26</v>
      </c>
    </row>
    <row r="24" spans="1:20" x14ac:dyDescent="0.35">
      <c r="A24">
        <v>3</v>
      </c>
      <c r="B24">
        <v>100</v>
      </c>
      <c r="C24">
        <v>1</v>
      </c>
      <c r="D24">
        <v>30223.639383268277</v>
      </c>
      <c r="E24">
        <v>11000</v>
      </c>
      <c r="F24">
        <v>8032.4885524478677</v>
      </c>
      <c r="G24">
        <v>8073.0459592310599</v>
      </c>
      <c r="H24">
        <v>1743.0146010472779</v>
      </c>
      <c r="I24">
        <v>582.49031106261259</v>
      </c>
      <c r="J24">
        <v>792.59995947936363</v>
      </c>
      <c r="K24">
        <v>3</v>
      </c>
      <c r="L24">
        <v>1</v>
      </c>
      <c r="M24">
        <v>0</v>
      </c>
      <c r="N24">
        <v>2</v>
      </c>
      <c r="O24">
        <v>0</v>
      </c>
      <c r="P24">
        <v>0.31002834633778337</v>
      </c>
      <c r="R24">
        <v>901</v>
      </c>
      <c r="S24">
        <v>2.6469278258446624E-2</v>
      </c>
      <c r="T24" t="s">
        <v>26</v>
      </c>
    </row>
    <row r="25" spans="1:20" x14ac:dyDescent="0.35">
      <c r="A25">
        <v>3</v>
      </c>
      <c r="B25">
        <v>100</v>
      </c>
      <c r="C25">
        <v>2</v>
      </c>
      <c r="D25">
        <v>30214.306174821169</v>
      </c>
      <c r="E25">
        <v>11000</v>
      </c>
      <c r="F25">
        <v>8035.6093797977801</v>
      </c>
      <c r="G25">
        <v>8077.5968185127213</v>
      </c>
      <c r="H25">
        <v>1738.7922872499662</v>
      </c>
      <c r="I25">
        <v>582.49031106261259</v>
      </c>
      <c r="J25">
        <v>779.81737819804971</v>
      </c>
      <c r="K25">
        <v>3</v>
      </c>
      <c r="L25">
        <v>1</v>
      </c>
      <c r="M25">
        <v>0</v>
      </c>
      <c r="N25">
        <v>2</v>
      </c>
      <c r="O25">
        <v>0</v>
      </c>
      <c r="P25">
        <v>0.31020311251459382</v>
      </c>
      <c r="R25">
        <v>910</v>
      </c>
      <c r="S25">
        <v>2.3648109178031767E-2</v>
      </c>
      <c r="T25" t="s">
        <v>26</v>
      </c>
    </row>
    <row r="26" spans="1:20" x14ac:dyDescent="0.35">
      <c r="A26">
        <v>4</v>
      </c>
      <c r="B26">
        <v>10</v>
      </c>
      <c r="C26">
        <v>1</v>
      </c>
      <c r="D26">
        <v>31683.085878437349</v>
      </c>
      <c r="E26">
        <v>13500</v>
      </c>
      <c r="F26">
        <v>8955.601304346028</v>
      </c>
      <c r="G26">
        <v>5554.2989189119771</v>
      </c>
      <c r="H26">
        <v>2113.6186180669738</v>
      </c>
      <c r="I26">
        <v>606.80188980729213</v>
      </c>
      <c r="J26">
        <v>952.76514730511599</v>
      </c>
      <c r="K26">
        <v>4</v>
      </c>
      <c r="L26">
        <v>0</v>
      </c>
      <c r="M26">
        <v>3</v>
      </c>
      <c r="N26">
        <v>1</v>
      </c>
      <c r="O26">
        <v>0</v>
      </c>
      <c r="P26">
        <v>0.84281338965048413</v>
      </c>
      <c r="R26">
        <v>241</v>
      </c>
      <c r="S26">
        <v>1.9835418134874657E-2</v>
      </c>
      <c r="T26" t="s">
        <v>26</v>
      </c>
    </row>
    <row r="27" spans="1:20" x14ac:dyDescent="0.35">
      <c r="A27">
        <v>4</v>
      </c>
      <c r="B27">
        <v>10</v>
      </c>
      <c r="C27">
        <v>2</v>
      </c>
      <c r="D27">
        <v>30684.968387496647</v>
      </c>
      <c r="E27">
        <v>12500</v>
      </c>
      <c r="F27">
        <v>9130.4681326844893</v>
      </c>
      <c r="G27">
        <v>5527.0188917846363</v>
      </c>
      <c r="H27">
        <v>2001.9902194101585</v>
      </c>
      <c r="I27">
        <v>606.80188980729213</v>
      </c>
      <c r="J27">
        <v>918.68925381002464</v>
      </c>
      <c r="K27">
        <v>4</v>
      </c>
      <c r="L27">
        <v>1</v>
      </c>
      <c r="M27">
        <v>2</v>
      </c>
      <c r="N27">
        <v>1</v>
      </c>
      <c r="O27">
        <v>0</v>
      </c>
      <c r="P27">
        <v>0.83867389833598804</v>
      </c>
      <c r="R27">
        <v>202</v>
      </c>
      <c r="S27">
        <v>1.9840660712885812E-2</v>
      </c>
      <c r="T27" t="s">
        <v>26</v>
      </c>
    </row>
    <row r="28" spans="1:20" x14ac:dyDescent="0.35">
      <c r="A28">
        <v>4</v>
      </c>
      <c r="B28">
        <v>40</v>
      </c>
      <c r="C28">
        <v>1</v>
      </c>
      <c r="D28">
        <v>31498.365807958671</v>
      </c>
      <c r="E28">
        <v>13500</v>
      </c>
      <c r="F28">
        <v>7470.6740479386181</v>
      </c>
      <c r="G28">
        <v>6852.7734438372981</v>
      </c>
      <c r="H28">
        <v>2117.0015078948659</v>
      </c>
      <c r="I28">
        <v>606.80188980729224</v>
      </c>
      <c r="J28">
        <v>951.11491848074343</v>
      </c>
      <c r="K28">
        <v>4</v>
      </c>
      <c r="L28">
        <v>0</v>
      </c>
      <c r="M28">
        <v>3</v>
      </c>
      <c r="N28">
        <v>1</v>
      </c>
      <c r="O28">
        <v>0</v>
      </c>
      <c r="P28">
        <v>0.62807560251398886</v>
      </c>
      <c r="R28">
        <v>904</v>
      </c>
      <c r="S28">
        <v>4.2104488035150635E-2</v>
      </c>
      <c r="T28" t="s">
        <v>26</v>
      </c>
    </row>
    <row r="29" spans="1:20" x14ac:dyDescent="0.35">
      <c r="A29">
        <v>4</v>
      </c>
      <c r="B29">
        <v>40</v>
      </c>
      <c r="C29">
        <v>2</v>
      </c>
      <c r="D29">
        <v>29880.167504881625</v>
      </c>
      <c r="E29">
        <v>12500</v>
      </c>
      <c r="F29">
        <v>7158.0090343804141</v>
      </c>
      <c r="G29">
        <v>6675.9505510157096</v>
      </c>
      <c r="H29">
        <v>2004.4919405692342</v>
      </c>
      <c r="I29">
        <v>606.80188980729224</v>
      </c>
      <c r="J29">
        <v>934.91408910888913</v>
      </c>
      <c r="K29">
        <v>4</v>
      </c>
      <c r="L29">
        <v>1</v>
      </c>
      <c r="M29">
        <v>2</v>
      </c>
      <c r="N29">
        <v>1</v>
      </c>
      <c r="O29">
        <v>0</v>
      </c>
      <c r="P29">
        <v>0.61186929628522246</v>
      </c>
      <c r="R29">
        <v>179</v>
      </c>
      <c r="S29">
        <v>1.9935321431395946E-2</v>
      </c>
      <c r="T29" t="s">
        <v>26</v>
      </c>
    </row>
    <row r="30" spans="1:20" x14ac:dyDescent="0.35">
      <c r="A30">
        <v>4</v>
      </c>
      <c r="B30">
        <v>70</v>
      </c>
      <c r="C30">
        <v>1</v>
      </c>
      <c r="D30">
        <v>31231.054869249961</v>
      </c>
      <c r="E30">
        <v>13500</v>
      </c>
      <c r="F30">
        <v>7007.8104396050367</v>
      </c>
      <c r="G30">
        <v>7063.2137400802485</v>
      </c>
      <c r="H30">
        <v>2104.7227782676919</v>
      </c>
      <c r="I30">
        <v>606.80188980729201</v>
      </c>
      <c r="J30">
        <v>948.50602148958671</v>
      </c>
      <c r="K30">
        <v>4</v>
      </c>
      <c r="L30">
        <v>0</v>
      </c>
      <c r="M30">
        <v>3</v>
      </c>
      <c r="N30">
        <v>1</v>
      </c>
      <c r="O30">
        <v>0</v>
      </c>
      <c r="P30">
        <v>0.48420236319661564</v>
      </c>
      <c r="R30">
        <v>902</v>
      </c>
      <c r="S30">
        <v>3.4007312433330494E-2</v>
      </c>
      <c r="T30" t="s">
        <v>26</v>
      </c>
    </row>
    <row r="31" spans="1:20" x14ac:dyDescent="0.35">
      <c r="A31">
        <v>4</v>
      </c>
      <c r="B31">
        <v>70</v>
      </c>
      <c r="C31">
        <v>2</v>
      </c>
      <c r="D31">
        <v>30064.436789576164</v>
      </c>
      <c r="E31">
        <v>12500</v>
      </c>
      <c r="F31">
        <v>6981.9389695169903</v>
      </c>
      <c r="G31">
        <v>7033.3032823205485</v>
      </c>
      <c r="H31">
        <v>2005.3821537262286</v>
      </c>
      <c r="I31">
        <v>606.80188980729213</v>
      </c>
      <c r="J31">
        <v>937.01049420497782</v>
      </c>
      <c r="K31">
        <v>4</v>
      </c>
      <c r="L31">
        <v>1</v>
      </c>
      <c r="M31">
        <v>2</v>
      </c>
      <c r="N31">
        <v>1</v>
      </c>
      <c r="O31">
        <v>0</v>
      </c>
      <c r="P31">
        <v>0.48215192059860151</v>
      </c>
      <c r="R31">
        <v>901</v>
      </c>
      <c r="S31">
        <v>2.73568163866354E-2</v>
      </c>
      <c r="T31" t="s">
        <v>26</v>
      </c>
    </row>
    <row r="32" spans="1:20" x14ac:dyDescent="0.35">
      <c r="A32">
        <v>4</v>
      </c>
      <c r="B32">
        <v>100</v>
      </c>
      <c r="C32">
        <v>1</v>
      </c>
      <c r="D32">
        <v>31299.975651564047</v>
      </c>
      <c r="E32">
        <v>9750</v>
      </c>
      <c r="F32">
        <v>9417.7362497062568</v>
      </c>
      <c r="G32">
        <v>9444.5200037473605</v>
      </c>
      <c r="H32">
        <v>1438.649233818915</v>
      </c>
      <c r="I32">
        <v>606.80188980729213</v>
      </c>
      <c r="J32">
        <v>642.26827448421341</v>
      </c>
      <c r="K32">
        <v>2</v>
      </c>
      <c r="L32">
        <v>0</v>
      </c>
      <c r="M32">
        <v>1</v>
      </c>
      <c r="N32">
        <v>0</v>
      </c>
      <c r="O32">
        <v>1</v>
      </c>
      <c r="P32">
        <v>0.3575846941873817</v>
      </c>
      <c r="R32">
        <v>902</v>
      </c>
      <c r="S32">
        <v>3.6720696701511048E-2</v>
      </c>
      <c r="T32" t="s">
        <v>26</v>
      </c>
    </row>
    <row r="33" spans="1:20" x14ac:dyDescent="0.35">
      <c r="A33">
        <v>4</v>
      </c>
      <c r="B33">
        <v>100</v>
      </c>
      <c r="C33">
        <v>2</v>
      </c>
      <c r="D33">
        <v>30118.647770548523</v>
      </c>
      <c r="E33">
        <v>11000</v>
      </c>
      <c r="F33">
        <v>7976.726315685748</v>
      </c>
      <c r="G33">
        <v>8020.4794097482463</v>
      </c>
      <c r="H33">
        <v>1712.7374868347533</v>
      </c>
      <c r="I33">
        <v>606.80188980729213</v>
      </c>
      <c r="J33">
        <v>801.90266847252485</v>
      </c>
      <c r="K33">
        <v>3</v>
      </c>
      <c r="L33">
        <v>1</v>
      </c>
      <c r="M33">
        <v>0</v>
      </c>
      <c r="N33">
        <v>2</v>
      </c>
      <c r="O33">
        <v>0</v>
      </c>
      <c r="P33">
        <v>0.30366823044824554</v>
      </c>
      <c r="R33">
        <v>901</v>
      </c>
      <c r="S33">
        <v>3.1458996379926427E-2</v>
      </c>
      <c r="T33" t="s">
        <v>26</v>
      </c>
    </row>
    <row r="34" spans="1:20" x14ac:dyDescent="0.35">
      <c r="A34">
        <v>5</v>
      </c>
      <c r="B34">
        <v>10</v>
      </c>
      <c r="C34">
        <v>1</v>
      </c>
      <c r="D34">
        <v>32531.833000747418</v>
      </c>
      <c r="E34">
        <v>13500</v>
      </c>
      <c r="F34">
        <v>9466.7804060173567</v>
      </c>
      <c r="G34">
        <v>5863.0532653163418</v>
      </c>
      <c r="H34">
        <v>2113.4134651209838</v>
      </c>
      <c r="I34">
        <v>613.87430120531906</v>
      </c>
      <c r="J34">
        <v>974.71156308737488</v>
      </c>
      <c r="K34">
        <v>4</v>
      </c>
      <c r="L34">
        <v>0</v>
      </c>
      <c r="M34">
        <v>3</v>
      </c>
      <c r="N34">
        <v>1</v>
      </c>
      <c r="O34">
        <v>0</v>
      </c>
      <c r="P34">
        <v>0.84540248649278271</v>
      </c>
      <c r="R34">
        <v>906</v>
      </c>
      <c r="S34">
        <v>2.8689512030755749E-2</v>
      </c>
      <c r="T34" t="s">
        <v>26</v>
      </c>
    </row>
    <row r="35" spans="1:20" x14ac:dyDescent="0.35">
      <c r="A35">
        <v>5</v>
      </c>
      <c r="B35">
        <v>10</v>
      </c>
      <c r="C35">
        <v>2</v>
      </c>
      <c r="D35">
        <v>31969.274425229141</v>
      </c>
      <c r="E35">
        <v>12500</v>
      </c>
      <c r="F35">
        <v>9945.4676076658761</v>
      </c>
      <c r="G35">
        <v>5913.2897303279806</v>
      </c>
      <c r="H35">
        <v>2046.5216295235159</v>
      </c>
      <c r="I35">
        <v>613.87430120531894</v>
      </c>
      <c r="J35">
        <v>950.12115650661201</v>
      </c>
      <c r="K35">
        <v>4</v>
      </c>
      <c r="L35">
        <v>1</v>
      </c>
      <c r="M35">
        <v>2</v>
      </c>
      <c r="N35">
        <v>1</v>
      </c>
      <c r="O35">
        <v>0</v>
      </c>
      <c r="P35">
        <v>0.85264615809383804</v>
      </c>
      <c r="R35">
        <v>167</v>
      </c>
      <c r="S35">
        <v>1.9025799929857572E-2</v>
      </c>
      <c r="T35" t="s">
        <v>26</v>
      </c>
    </row>
    <row r="36" spans="1:20" x14ac:dyDescent="0.35">
      <c r="A36">
        <v>5</v>
      </c>
      <c r="B36">
        <v>40</v>
      </c>
      <c r="C36">
        <v>1</v>
      </c>
      <c r="D36">
        <v>31342.969460546621</v>
      </c>
      <c r="E36">
        <v>9750</v>
      </c>
      <c r="F36">
        <v>10387.229133748262</v>
      </c>
      <c r="G36">
        <v>8489.1214799486279</v>
      </c>
      <c r="H36">
        <v>1437.7187300339294</v>
      </c>
      <c r="I36">
        <v>613.87430120531894</v>
      </c>
      <c r="J36">
        <v>665.02581561056149</v>
      </c>
      <c r="K36">
        <v>2</v>
      </c>
      <c r="L36">
        <v>0</v>
      </c>
      <c r="M36">
        <v>1</v>
      </c>
      <c r="N36">
        <v>0</v>
      </c>
      <c r="O36">
        <v>1</v>
      </c>
      <c r="P36">
        <v>0.77548821968397708</v>
      </c>
      <c r="R36">
        <v>902</v>
      </c>
      <c r="S36">
        <v>2.8450790849121492E-2</v>
      </c>
      <c r="T36" t="s">
        <v>26</v>
      </c>
    </row>
    <row r="37" spans="1:20" x14ac:dyDescent="0.35">
      <c r="A37">
        <v>5</v>
      </c>
      <c r="B37">
        <v>40</v>
      </c>
      <c r="C37">
        <v>2</v>
      </c>
      <c r="D37">
        <v>31029.143191361629</v>
      </c>
      <c r="E37">
        <v>8750</v>
      </c>
      <c r="F37">
        <v>11027.01703367265</v>
      </c>
      <c r="G37">
        <v>8679.306468220886</v>
      </c>
      <c r="H37">
        <v>1342.3710436781464</v>
      </c>
      <c r="I37">
        <v>613.87430120531906</v>
      </c>
      <c r="J37">
        <v>616.57434458452303</v>
      </c>
      <c r="K37">
        <v>2</v>
      </c>
      <c r="L37">
        <v>1</v>
      </c>
      <c r="M37">
        <v>0</v>
      </c>
      <c r="N37">
        <v>0</v>
      </c>
      <c r="O37">
        <v>1</v>
      </c>
      <c r="P37">
        <v>0.79286177456998441</v>
      </c>
      <c r="R37">
        <v>220</v>
      </c>
      <c r="S37">
        <v>1.9741311003928657E-2</v>
      </c>
      <c r="T37" t="s">
        <v>26</v>
      </c>
    </row>
    <row r="38" spans="1:20" x14ac:dyDescent="0.35">
      <c r="A38">
        <v>5</v>
      </c>
      <c r="B38">
        <v>70</v>
      </c>
      <c r="C38">
        <v>1</v>
      </c>
      <c r="D38">
        <v>31013.714339521914</v>
      </c>
      <c r="E38">
        <v>9750</v>
      </c>
      <c r="F38">
        <v>9360.0962204429015</v>
      </c>
      <c r="G38">
        <v>9187.0049135054578</v>
      </c>
      <c r="H38">
        <v>1437.7168401743897</v>
      </c>
      <c r="I38">
        <v>613.87430120531883</v>
      </c>
      <c r="J38">
        <v>665.02206419387801</v>
      </c>
      <c r="K38">
        <v>2</v>
      </c>
      <c r="L38">
        <v>0</v>
      </c>
      <c r="M38">
        <v>1</v>
      </c>
      <c r="N38">
        <v>0</v>
      </c>
      <c r="O38">
        <v>1</v>
      </c>
      <c r="P38">
        <v>0.6260141154602078</v>
      </c>
      <c r="R38">
        <v>172</v>
      </c>
      <c r="S38">
        <v>1.9507397945586182E-2</v>
      </c>
      <c r="T38" t="s">
        <v>26</v>
      </c>
    </row>
    <row r="39" spans="1:20" x14ac:dyDescent="0.35">
      <c r="A39">
        <v>5</v>
      </c>
      <c r="B39">
        <v>70</v>
      </c>
      <c r="C39">
        <v>2</v>
      </c>
      <c r="D39">
        <v>30734.324851703859</v>
      </c>
      <c r="E39">
        <v>8750</v>
      </c>
      <c r="F39">
        <v>9870.7614012443009</v>
      </c>
      <c r="G39">
        <v>9541.0678088454333</v>
      </c>
      <c r="H39">
        <v>1343.0687490699936</v>
      </c>
      <c r="I39">
        <v>613.87430120531894</v>
      </c>
      <c r="J39">
        <v>615.55259133878633</v>
      </c>
      <c r="K39">
        <v>2</v>
      </c>
      <c r="L39">
        <v>1</v>
      </c>
      <c r="M39">
        <v>0</v>
      </c>
      <c r="N39">
        <v>0</v>
      </c>
      <c r="O39">
        <v>1</v>
      </c>
      <c r="P39">
        <v>0.65014040823247987</v>
      </c>
      <c r="R39">
        <v>188</v>
      </c>
      <c r="S39">
        <v>1.4882320459773937E-2</v>
      </c>
      <c r="T39" t="s">
        <v>26</v>
      </c>
    </row>
    <row r="40" spans="1:20" x14ac:dyDescent="0.35">
      <c r="A40">
        <v>5</v>
      </c>
      <c r="B40">
        <v>100</v>
      </c>
      <c r="C40">
        <v>1</v>
      </c>
      <c r="D40">
        <v>31000.298844033859</v>
      </c>
      <c r="E40">
        <v>9750</v>
      </c>
      <c r="F40">
        <v>9252.1646150787328</v>
      </c>
      <c r="G40">
        <v>9281.5178871306543</v>
      </c>
      <c r="H40">
        <v>1437.7180763222671</v>
      </c>
      <c r="I40">
        <v>613.87430120531883</v>
      </c>
      <c r="J40">
        <v>665.02396429671785</v>
      </c>
      <c r="K40">
        <v>2</v>
      </c>
      <c r="L40">
        <v>0</v>
      </c>
      <c r="M40">
        <v>1</v>
      </c>
      <c r="N40">
        <v>0</v>
      </c>
      <c r="O40">
        <v>1</v>
      </c>
      <c r="P40">
        <v>0.37445523707335587</v>
      </c>
      <c r="R40">
        <v>339</v>
      </c>
      <c r="S40">
        <v>1.9459196179037162E-2</v>
      </c>
      <c r="T40" t="s">
        <v>26</v>
      </c>
    </row>
    <row r="41" spans="1:20" x14ac:dyDescent="0.35">
      <c r="A41">
        <v>5</v>
      </c>
      <c r="B41">
        <v>100</v>
      </c>
      <c r="C41">
        <v>2</v>
      </c>
      <c r="D41">
        <v>30660.503100416867</v>
      </c>
      <c r="E41">
        <v>8750</v>
      </c>
      <c r="F41">
        <v>9657.5854504652671</v>
      </c>
      <c r="G41">
        <v>9688.9781155669698</v>
      </c>
      <c r="H41">
        <v>1335.6912587795616</v>
      </c>
      <c r="I41">
        <v>613.87430120531894</v>
      </c>
      <c r="J41">
        <v>614.37397439968709</v>
      </c>
      <c r="K41">
        <v>2</v>
      </c>
      <c r="L41">
        <v>1</v>
      </c>
      <c r="M41">
        <v>0</v>
      </c>
      <c r="N41">
        <v>0</v>
      </c>
      <c r="O41">
        <v>1</v>
      </c>
      <c r="P41">
        <v>0.39089388625687344</v>
      </c>
      <c r="R41">
        <v>197</v>
      </c>
      <c r="S41">
        <v>1.498909490861213E-2</v>
      </c>
      <c r="T41" t="s">
        <v>26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17540-E9E4-449B-BDA0-EBECDD6CAAA7}">
  <sheetPr>
    <tabColor rgb="FFFF0000"/>
  </sheetPr>
  <dimension ref="A1:AE21"/>
  <sheetViews>
    <sheetView topLeftCell="U1" workbookViewId="0">
      <selection activeCell="W3" sqref="W3:AB17"/>
    </sheetView>
  </sheetViews>
  <sheetFormatPr baseColWidth="10" defaultColWidth="11.453125" defaultRowHeight="14.5" x14ac:dyDescent="0.35"/>
  <cols>
    <col min="1" max="1" width="6.6328125" bestFit="1" customWidth="1"/>
    <col min="2" max="2" width="9.6328125" bestFit="1" customWidth="1"/>
    <col min="3" max="3" width="10.453125" bestFit="1" customWidth="1"/>
    <col min="4" max="4" width="11.81640625" bestFit="1" customWidth="1"/>
    <col min="5" max="5" width="14.26953125" bestFit="1" customWidth="1"/>
    <col min="6" max="6" width="19.54296875" bestFit="1" customWidth="1"/>
    <col min="7" max="7" width="19" bestFit="1" customWidth="1"/>
    <col min="8" max="8" width="14.90625" bestFit="1" customWidth="1"/>
    <col min="9" max="9" width="24.7265625" bestFit="1" customWidth="1"/>
    <col min="10" max="10" width="20.6328125" bestFit="1" customWidth="1"/>
    <col min="11" max="11" width="15.6328125" bestFit="1" customWidth="1"/>
    <col min="12" max="15" width="22.81640625" bestFit="1" customWidth="1"/>
    <col min="16" max="16" width="13.81640625" bestFit="1" customWidth="1"/>
    <col min="17" max="17" width="11.81640625" bestFit="1" customWidth="1"/>
    <col min="18" max="18" width="10.453125" bestFit="1" customWidth="1"/>
    <col min="19" max="19" width="11.81640625" bestFit="1" customWidth="1"/>
    <col min="20" max="20" width="13.08984375" bestFit="1" customWidth="1"/>
    <col min="23" max="23" width="34.6328125" bestFit="1" customWidth="1"/>
  </cols>
  <sheetData>
    <row r="1" spans="1:31" x14ac:dyDescent="0.3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42</v>
      </c>
      <c r="P1" t="s">
        <v>15</v>
      </c>
      <c r="Q1" t="s">
        <v>16</v>
      </c>
      <c r="R1" t="s">
        <v>17</v>
      </c>
      <c r="S1" t="s">
        <v>18</v>
      </c>
      <c r="T1" t="s">
        <v>36</v>
      </c>
    </row>
    <row r="2" spans="1:31" x14ac:dyDescent="0.35">
      <c r="A2">
        <v>1</v>
      </c>
      <c r="B2">
        <v>10</v>
      </c>
      <c r="C2">
        <v>3</v>
      </c>
      <c r="D2">
        <v>50836.071075496999</v>
      </c>
      <c r="E2">
        <v>21750</v>
      </c>
      <c r="F2">
        <v>16520.796264412766</v>
      </c>
      <c r="G2">
        <v>6235.3170965511763</v>
      </c>
      <c r="H2">
        <v>4625.5352813903291</v>
      </c>
      <c r="I2">
        <v>635.74997921666261</v>
      </c>
      <c r="J2">
        <v>1068.6724539262364</v>
      </c>
      <c r="K2">
        <v>5</v>
      </c>
      <c r="L2">
        <v>0</v>
      </c>
      <c r="M2">
        <v>2</v>
      </c>
      <c r="N2">
        <v>2</v>
      </c>
      <c r="O2">
        <v>1</v>
      </c>
      <c r="P2">
        <v>0.89655874716021466</v>
      </c>
      <c r="Q2">
        <v>0.21411882933688986</v>
      </c>
      <c r="R2">
        <v>901</v>
      </c>
      <c r="S2">
        <v>3.151588373775889E-2</v>
      </c>
      <c r="T2" t="s">
        <v>27</v>
      </c>
    </row>
    <row r="3" spans="1:31" ht="17.5" x14ac:dyDescent="0.35">
      <c r="A3">
        <v>1</v>
      </c>
      <c r="B3">
        <v>40</v>
      </c>
      <c r="C3">
        <v>3</v>
      </c>
      <c r="D3">
        <v>47674.470737939388</v>
      </c>
      <c r="E3">
        <v>18000</v>
      </c>
      <c r="F3">
        <v>14871.34789166243</v>
      </c>
      <c r="G3">
        <v>9681.3903732009912</v>
      </c>
      <c r="H3">
        <v>3647.9817502425403</v>
      </c>
      <c r="I3">
        <v>635.74997921666306</v>
      </c>
      <c r="J3">
        <v>838.00074361696329</v>
      </c>
      <c r="K3">
        <v>3</v>
      </c>
      <c r="L3">
        <v>0</v>
      </c>
      <c r="M3">
        <v>0</v>
      </c>
      <c r="N3">
        <v>1</v>
      </c>
      <c r="O3">
        <v>2</v>
      </c>
      <c r="P3">
        <v>0.85294472429086443</v>
      </c>
      <c r="Q3">
        <v>0.23941464682871186</v>
      </c>
      <c r="R3">
        <v>906</v>
      </c>
      <c r="S3">
        <v>3.3965137709602682E-2</v>
      </c>
      <c r="T3" t="s">
        <v>27</v>
      </c>
      <c r="W3" s="18" t="s">
        <v>37</v>
      </c>
      <c r="X3" s="19"/>
      <c r="Y3" s="19"/>
      <c r="Z3" s="19"/>
      <c r="AA3" s="19"/>
      <c r="AB3" s="20" t="s">
        <v>38</v>
      </c>
    </row>
    <row r="4" spans="1:31" ht="17.5" x14ac:dyDescent="0.35">
      <c r="A4">
        <v>1</v>
      </c>
      <c r="B4">
        <v>70</v>
      </c>
      <c r="C4">
        <v>3</v>
      </c>
      <c r="D4">
        <v>48094.560032312307</v>
      </c>
      <c r="E4">
        <v>18000</v>
      </c>
      <c r="F4">
        <v>13731.658456557388</v>
      </c>
      <c r="G4">
        <v>11228.397500751906</v>
      </c>
      <c r="H4">
        <v>3656.4134434789789</v>
      </c>
      <c r="I4">
        <v>635.74997921666284</v>
      </c>
      <c r="J4">
        <v>842.34065230731278</v>
      </c>
      <c r="K4">
        <v>3</v>
      </c>
      <c r="L4">
        <v>0</v>
      </c>
      <c r="M4">
        <v>0</v>
      </c>
      <c r="N4">
        <v>1</v>
      </c>
      <c r="O4">
        <v>2</v>
      </c>
      <c r="P4">
        <v>0.73590097494929019</v>
      </c>
      <c r="Q4">
        <v>0.23097848712991104</v>
      </c>
      <c r="R4">
        <v>901</v>
      </c>
      <c r="S4">
        <v>5.6691437798131003E-2</v>
      </c>
      <c r="T4" t="s">
        <v>27</v>
      </c>
      <c r="W4" s="21"/>
      <c r="X4" s="22">
        <v>10</v>
      </c>
      <c r="Y4" s="22">
        <v>40</v>
      </c>
      <c r="Z4" s="22">
        <v>70</v>
      </c>
      <c r="AA4" s="22">
        <v>100</v>
      </c>
      <c r="AB4" s="23" t="s">
        <v>39</v>
      </c>
    </row>
    <row r="5" spans="1:31" ht="15.5" x14ac:dyDescent="0.35">
      <c r="A5">
        <v>1</v>
      </c>
      <c r="B5">
        <v>100</v>
      </c>
      <c r="C5">
        <v>3</v>
      </c>
      <c r="D5">
        <v>47650.458356164549</v>
      </c>
      <c r="E5">
        <v>18000</v>
      </c>
      <c r="F5">
        <v>12235.414991054578</v>
      </c>
      <c r="G5">
        <v>12287.726027734763</v>
      </c>
      <c r="H5">
        <v>3651.9242798847627</v>
      </c>
      <c r="I5">
        <v>635.74997921666295</v>
      </c>
      <c r="J5">
        <v>839.6430782740689</v>
      </c>
      <c r="K5">
        <v>3</v>
      </c>
      <c r="L5">
        <v>0</v>
      </c>
      <c r="M5">
        <v>0</v>
      </c>
      <c r="N5">
        <v>1</v>
      </c>
      <c r="O5">
        <v>2</v>
      </c>
      <c r="P5">
        <v>0.46076748471817269</v>
      </c>
      <c r="Q5">
        <v>0.23710579105335713</v>
      </c>
      <c r="R5">
        <v>901</v>
      </c>
      <c r="S5">
        <v>4.9036841672756779E-2</v>
      </c>
      <c r="T5" t="s">
        <v>27</v>
      </c>
      <c r="W5" s="31" t="s">
        <v>16</v>
      </c>
      <c r="X5" s="32">
        <f>AVERAGEIF(COOP6[[#All],[Cap (%)]],10,COOP6[[#All],[Synergie]])</f>
        <v>0.219774746595158</v>
      </c>
      <c r="Y5" s="32">
        <f>AVERAGEIF(COOP6[[#All],[Cap (%)]],40,COOP6[[#All],[Synergie]])</f>
        <v>0.25237688729779711</v>
      </c>
      <c r="Z5" s="32">
        <f>AVERAGEIF(COOP6[[#All],[Cap (%)]],70,COOP6[[#All],[Synergie]])</f>
        <v>0.24697740956433906</v>
      </c>
      <c r="AA5" s="32">
        <f>AVERAGEIF(COOP6[[#All],[Cap (%)]],100,COOP6[[#All],[Synergie]])</f>
        <v>0.26089350790497046</v>
      </c>
      <c r="AB5" s="33">
        <f>AVERAGE(X5:AA5)</f>
        <v>0.24500563784056614</v>
      </c>
    </row>
    <row r="6" spans="1:31" ht="15.5" x14ac:dyDescent="0.35">
      <c r="A6">
        <v>2</v>
      </c>
      <c r="B6">
        <v>10</v>
      </c>
      <c r="C6">
        <v>3</v>
      </c>
      <c r="D6">
        <v>47756.829198145635</v>
      </c>
      <c r="E6">
        <v>20250</v>
      </c>
      <c r="F6">
        <v>15734.765924358475</v>
      </c>
      <c r="G6">
        <v>6127.6270695636158</v>
      </c>
      <c r="H6">
        <v>4406.5220952375294</v>
      </c>
      <c r="I6">
        <v>465.72808319977059</v>
      </c>
      <c r="J6">
        <v>772.18602578619345</v>
      </c>
      <c r="K6">
        <v>5</v>
      </c>
      <c r="L6">
        <v>0</v>
      </c>
      <c r="M6">
        <v>3</v>
      </c>
      <c r="N6">
        <v>1</v>
      </c>
      <c r="O6">
        <v>1</v>
      </c>
      <c r="P6">
        <v>0.90200255051693334</v>
      </c>
      <c r="Q6">
        <v>0.22549401905549879</v>
      </c>
      <c r="R6">
        <v>650</v>
      </c>
      <c r="S6">
        <v>9.9786529896233322E-3</v>
      </c>
      <c r="T6" t="s">
        <v>27</v>
      </c>
      <c r="W6" s="25" t="s">
        <v>40</v>
      </c>
      <c r="X6" s="43">
        <f>AVERAGEIF([1]!SA[[#All],[Cap (%)]],10,[1]!SA[[#All],[Loading Rate]])</f>
        <v>0.84967499621933895</v>
      </c>
      <c r="Y6" s="43">
        <f>AVERAGEIF([1]!SA[[#All],[Cap (%)]],40,[1]!SA[[#All],[Loading Rate]])</f>
        <v>0.68848733665340967</v>
      </c>
      <c r="Z6" s="43">
        <f>AVERAGEIF([1]!SA[[#All],[Cap (%)]],70,[1]!SA[[#All],[Loading Rate]])</f>
        <v>0.55597596659196336</v>
      </c>
      <c r="AA6" s="43">
        <f>AVERAGEIF([1]!SA[[#All],[Cap (%)]],100,[1]!SA[[#All],[Loading Rate]])</f>
        <v>0.32764464332802634</v>
      </c>
      <c r="AB6" s="42">
        <f>AVERAGE(X6:AA6)</f>
        <v>0.60544573569818461</v>
      </c>
    </row>
    <row r="7" spans="1:31" ht="15.5" x14ac:dyDescent="0.35">
      <c r="A7">
        <v>2</v>
      </c>
      <c r="B7">
        <v>40</v>
      </c>
      <c r="C7">
        <v>3</v>
      </c>
      <c r="D7">
        <v>45041.731420093347</v>
      </c>
      <c r="E7">
        <v>16500</v>
      </c>
      <c r="F7">
        <v>14522.844891889195</v>
      </c>
      <c r="G7">
        <v>9516.0145590289139</v>
      </c>
      <c r="H7">
        <v>3436.4501127565504</v>
      </c>
      <c r="I7">
        <v>465.72808319977065</v>
      </c>
      <c r="J7">
        <v>600.69377321848594</v>
      </c>
      <c r="K7">
        <v>3</v>
      </c>
      <c r="L7">
        <v>0</v>
      </c>
      <c r="M7">
        <v>1</v>
      </c>
      <c r="N7">
        <v>0</v>
      </c>
      <c r="O7">
        <v>2</v>
      </c>
      <c r="P7">
        <v>0.86626810245549402</v>
      </c>
      <c r="Q7">
        <v>0.24544091040318067</v>
      </c>
      <c r="R7">
        <v>755</v>
      </c>
      <c r="S7">
        <v>1.9786008662051654E-2</v>
      </c>
      <c r="T7" t="s">
        <v>27</v>
      </c>
      <c r="W7" s="28" t="s">
        <v>41</v>
      </c>
      <c r="X7" s="44">
        <f>AVERAGEIF(COOP6[[#All],[Cap (%)]],10,COOP6[[#All],[Loading Rate]])</f>
        <v>0.90659817415563171</v>
      </c>
      <c r="Y7" s="44">
        <f>AVERAGEIF(COOP6[[#All],[Cap (%)]],40,COOP6[[#All],[Loading Rate]])</f>
        <v>0.84773553060713946</v>
      </c>
      <c r="Z7" s="44">
        <f>AVERAGEIF(COOP6[[#All],[Cap (%)]],70,COOP6[[#All],[Loading Rate]])</f>
        <v>0.74197272721777796</v>
      </c>
      <c r="AA7" s="44">
        <f>AVERAGEIF(COOP6[[#All],[Cap (%)]],100,COOP6[[#All],[Loading Rate]])</f>
        <v>0.44363768700303252</v>
      </c>
      <c r="AB7" s="45">
        <f>AVERAGE(X7:AA7)</f>
        <v>0.73498602974589544</v>
      </c>
    </row>
    <row r="8" spans="1:31" ht="15.5" x14ac:dyDescent="0.35">
      <c r="A8">
        <v>2</v>
      </c>
      <c r="B8">
        <v>70</v>
      </c>
      <c r="C8">
        <v>3</v>
      </c>
      <c r="D8">
        <v>44088.524352724329</v>
      </c>
      <c r="E8">
        <v>15500</v>
      </c>
      <c r="F8">
        <v>12856.96262924596</v>
      </c>
      <c r="G8">
        <v>11351.787082607052</v>
      </c>
      <c r="H8">
        <v>3318.1230970213769</v>
      </c>
      <c r="I8">
        <v>465.72808319977077</v>
      </c>
      <c r="J8">
        <v>595.92346065005574</v>
      </c>
      <c r="K8">
        <v>3</v>
      </c>
      <c r="L8">
        <v>1</v>
      </c>
      <c r="M8">
        <v>0</v>
      </c>
      <c r="N8">
        <v>0</v>
      </c>
      <c r="O8">
        <v>2</v>
      </c>
      <c r="P8">
        <v>0.77904408015933879</v>
      </c>
      <c r="Q8">
        <v>0.25691870103274672</v>
      </c>
      <c r="R8">
        <v>499</v>
      </c>
      <c r="S8">
        <v>1.9430535826852124E-2</v>
      </c>
      <c r="T8" t="s">
        <v>27</v>
      </c>
      <c r="W8" s="25" t="s">
        <v>57</v>
      </c>
      <c r="X8" s="26">
        <f>AVERAGEIF([1]!SA[[#All],[Cap (%)]],10,[1]!SA[[#All],[Number of DCs - Level 1]])*2</f>
        <v>1.8</v>
      </c>
      <c r="Y8" s="26">
        <f>AVERAGEIF([1]!SA[[#All],[Cap (%)]],40,[1]!SA[[#All],[Number of DCs - Level 1]])*2</f>
        <v>1.4</v>
      </c>
      <c r="Z8" s="26">
        <f>AVERAGEIF([1]!SA[[#All],[Cap (%)]],70,[1]!SA[[#All],[Number of DCs - Level 1]])*2</f>
        <v>1.4</v>
      </c>
      <c r="AA8" s="26">
        <f>AVERAGEIF([1]!SA[[#All],[Cap (%)]],100,[1]!SA[[#All],[Number of DCs - Level 1]])*2</f>
        <v>1.4</v>
      </c>
      <c r="AB8" s="27">
        <f>AVERAGE(X8:AA8)</f>
        <v>1.5</v>
      </c>
      <c r="AD8" s="13">
        <f>AB8+AB9</f>
        <v>3.75</v>
      </c>
      <c r="AE8" s="3">
        <f>AD8/AB12</f>
        <v>0.58139534883720934</v>
      </c>
    </row>
    <row r="9" spans="1:31" ht="15.5" x14ac:dyDescent="0.35">
      <c r="A9">
        <v>2</v>
      </c>
      <c r="B9">
        <v>100</v>
      </c>
      <c r="C9">
        <v>3</v>
      </c>
      <c r="D9">
        <v>43736.464874732897</v>
      </c>
      <c r="E9">
        <v>15500</v>
      </c>
      <c r="F9">
        <v>11896.838650539894</v>
      </c>
      <c r="G9">
        <v>11960.452175298435</v>
      </c>
      <c r="H9">
        <v>3318.4598385237159</v>
      </c>
      <c r="I9">
        <v>465.72808319977065</v>
      </c>
      <c r="J9">
        <v>594.986127171112</v>
      </c>
      <c r="K9">
        <v>3</v>
      </c>
      <c r="L9">
        <v>1</v>
      </c>
      <c r="M9">
        <v>0</v>
      </c>
      <c r="N9">
        <v>0</v>
      </c>
      <c r="O9">
        <v>2</v>
      </c>
      <c r="P9">
        <v>0.44774586844087039</v>
      </c>
      <c r="Q9">
        <v>0.26174796492942626</v>
      </c>
      <c r="R9">
        <v>340</v>
      </c>
      <c r="S9">
        <v>1.5865912873120572E-2</v>
      </c>
      <c r="T9" t="s">
        <v>27</v>
      </c>
      <c r="W9" s="25" t="s">
        <v>58</v>
      </c>
      <c r="X9" s="26">
        <f>AVERAGEIF([1]!SA[[#All],[Cap (%)]],10,[1]!SA[[#All],[Number of DCs - Level 2]])*2</f>
        <v>4</v>
      </c>
      <c r="Y9" s="26">
        <f>AVERAGEIF([1]!SA[[#All],[Cap (%)]],40,[1]!SA[[#All],[Number of DCs - Level 2]])*2</f>
        <v>2.2000000000000002</v>
      </c>
      <c r="Z9" s="26">
        <f>AVERAGEIF([1]!SA[[#All],[Cap (%)]],70,[1]!SA[[#All],[Number of DCs - Level 2]])*2</f>
        <v>1.8</v>
      </c>
      <c r="AA9" s="26">
        <f>AVERAGEIF([1]!SA[[#All],[Cap (%)]],100,[1]!SA[[#All],[Number of DCs - Level 2]])*2</f>
        <v>1</v>
      </c>
      <c r="AB9" s="27">
        <f t="shared" ref="AB9:AB11" si="0">AVERAGE(X9:AA9)</f>
        <v>2.25</v>
      </c>
      <c r="AD9" s="13">
        <f>AB10+AB11</f>
        <v>2.7</v>
      </c>
      <c r="AE9" s="3">
        <f>AD9/AB12</f>
        <v>0.41860465116279072</v>
      </c>
    </row>
    <row r="10" spans="1:31" ht="15.5" x14ac:dyDescent="0.35">
      <c r="A10">
        <v>3</v>
      </c>
      <c r="B10">
        <v>10</v>
      </c>
      <c r="C10">
        <v>3</v>
      </c>
      <c r="D10">
        <v>49509.387167824549</v>
      </c>
      <c r="E10">
        <v>18750</v>
      </c>
      <c r="F10">
        <v>19190.326362480559</v>
      </c>
      <c r="G10">
        <v>6001.7967186129308</v>
      </c>
      <c r="H10">
        <v>4059.7530225953437</v>
      </c>
      <c r="I10">
        <v>582.49031106261248</v>
      </c>
      <c r="J10">
        <v>925.02075307309769</v>
      </c>
      <c r="K10">
        <v>4</v>
      </c>
      <c r="L10">
        <v>0</v>
      </c>
      <c r="M10">
        <v>1</v>
      </c>
      <c r="N10">
        <v>2</v>
      </c>
      <c r="O10">
        <v>1</v>
      </c>
      <c r="P10">
        <v>0.90285741333464831</v>
      </c>
      <c r="Q10">
        <v>0.20971566002410358</v>
      </c>
      <c r="R10">
        <v>902</v>
      </c>
      <c r="S10">
        <v>2.9220218793252539E-2</v>
      </c>
      <c r="T10" t="s">
        <v>27</v>
      </c>
      <c r="W10" s="25" t="s">
        <v>59</v>
      </c>
      <c r="X10" s="26">
        <f>AVERAGEIF([1]!SA[[#All],[Cap (%)]],10,[1]!SA[[#All],[Number of DCs - Level 3]])*2</f>
        <v>2.2000000000000002</v>
      </c>
      <c r="Y10" s="26">
        <f>AVERAGEIF([1]!SA[[#All],[Cap (%)]],40,[1]!SA[[#All],[Number of DCs - Level 3]])*2</f>
        <v>2.4</v>
      </c>
      <c r="Z10" s="26">
        <f>AVERAGEIF([1]!SA[[#All],[Cap (%)]],70,[1]!SA[[#All],[Number of DCs - Level 3]])*2</f>
        <v>2.2000000000000002</v>
      </c>
      <c r="AA10" s="26">
        <f>AVERAGEIF([1]!SA[[#All],[Cap (%)]],100,[1]!SA[[#All],[Number of DCs - Level 3]])*2</f>
        <v>2.2000000000000002</v>
      </c>
      <c r="AB10" s="27">
        <f t="shared" si="0"/>
        <v>2.25</v>
      </c>
    </row>
    <row r="11" spans="1:31" ht="15.5" x14ac:dyDescent="0.35">
      <c r="A11">
        <v>3</v>
      </c>
      <c r="B11">
        <v>40</v>
      </c>
      <c r="C11">
        <v>3</v>
      </c>
      <c r="D11">
        <v>45486.400101837964</v>
      </c>
      <c r="E11">
        <v>16500</v>
      </c>
      <c r="F11">
        <v>14689.693628432602</v>
      </c>
      <c r="G11">
        <v>9453.654943140953</v>
      </c>
      <c r="H11">
        <v>3471.6257725774603</v>
      </c>
      <c r="I11">
        <v>582.49031106261236</v>
      </c>
      <c r="J11">
        <v>788.93544662405122</v>
      </c>
      <c r="K11">
        <v>3</v>
      </c>
      <c r="L11">
        <v>0</v>
      </c>
      <c r="M11">
        <v>1</v>
      </c>
      <c r="N11">
        <v>0</v>
      </c>
      <c r="O11">
        <v>2</v>
      </c>
      <c r="P11">
        <v>0.89205159138582868</v>
      </c>
      <c r="Q11">
        <v>0.24739535113613603</v>
      </c>
      <c r="R11">
        <v>904</v>
      </c>
      <c r="S11">
        <v>2.4560661171897993E-2</v>
      </c>
      <c r="T11" t="s">
        <v>27</v>
      </c>
      <c r="W11" s="25" t="s">
        <v>60</v>
      </c>
      <c r="X11" s="26">
        <f>AVERAGEIF([1]!SA[[#All],[Cap (%)]],10,[1]!SA[[#All],[Number of DCs - Level 4]])*2</f>
        <v>0</v>
      </c>
      <c r="Y11" s="26">
        <f>AVERAGEIF([1]!SA[[#All],[Cap (%)]],Y4,[1]!SA[[#All],[Number of DCs - Level 4]])*2</f>
        <v>0.4</v>
      </c>
      <c r="Z11" s="26">
        <f>AVERAGEIF([1]!SA[[#All],[Cap (%)]],Z4,[1]!SA[[#All],[Number of DCs - Level 4]])*2</f>
        <v>0.6</v>
      </c>
      <c r="AA11" s="26">
        <f>AVERAGEIF([1]!SA[[#All],[Cap (%)]],AA4,[1]!SA[[#All],[Number of DCs - Level 4]])*2</f>
        <v>0.8</v>
      </c>
      <c r="AB11" s="27">
        <f t="shared" si="0"/>
        <v>0.45</v>
      </c>
    </row>
    <row r="12" spans="1:31" ht="15.5" x14ac:dyDescent="0.35">
      <c r="A12">
        <v>3</v>
      </c>
      <c r="B12">
        <v>70</v>
      </c>
      <c r="C12">
        <v>3</v>
      </c>
      <c r="D12">
        <v>45294.571970141544</v>
      </c>
      <c r="E12">
        <v>18000</v>
      </c>
      <c r="F12">
        <v>11674.02565233146</v>
      </c>
      <c r="G12">
        <v>10631.052668255128</v>
      </c>
      <c r="H12">
        <v>3589.5101366661306</v>
      </c>
      <c r="I12">
        <v>582.49031106261259</v>
      </c>
      <c r="J12">
        <v>817.49320182606459</v>
      </c>
      <c r="K12">
        <v>3</v>
      </c>
      <c r="L12">
        <v>0</v>
      </c>
      <c r="M12">
        <v>0</v>
      </c>
      <c r="N12">
        <v>1</v>
      </c>
      <c r="O12">
        <v>2</v>
      </c>
      <c r="P12">
        <v>0.74988392579144592</v>
      </c>
      <c r="Q12">
        <v>0.24879409711031089</v>
      </c>
      <c r="R12">
        <v>901</v>
      </c>
      <c r="S12">
        <v>3.8371632208849607E-2</v>
      </c>
      <c r="T12" t="s">
        <v>27</v>
      </c>
      <c r="W12" s="36" t="s">
        <v>46</v>
      </c>
      <c r="X12" s="37">
        <f>SUM(X8:X11)</f>
        <v>8</v>
      </c>
      <c r="Y12" s="37">
        <f t="shared" ref="Y12:AA12" si="1">SUM(Y8:Y11)</f>
        <v>6.4</v>
      </c>
      <c r="Z12" s="37">
        <f t="shared" si="1"/>
        <v>6</v>
      </c>
      <c r="AA12" s="37">
        <f t="shared" si="1"/>
        <v>5.3999999999999995</v>
      </c>
      <c r="AB12" s="38">
        <f>SUM(AB8:AB11)</f>
        <v>6.45</v>
      </c>
      <c r="AD12" s="13">
        <f>AB13+AB14</f>
        <v>0.90000000000000013</v>
      </c>
      <c r="AE12" s="3">
        <f>AD12/AB17</f>
        <v>0.25000000000000006</v>
      </c>
    </row>
    <row r="13" spans="1:31" ht="15.5" x14ac:dyDescent="0.35">
      <c r="A13">
        <v>3</v>
      </c>
      <c r="B13">
        <v>100</v>
      </c>
      <c r="C13">
        <v>3</v>
      </c>
      <c r="D13">
        <v>44691.327789397379</v>
      </c>
      <c r="E13">
        <v>16500</v>
      </c>
      <c r="F13">
        <v>11638.287501690476</v>
      </c>
      <c r="G13">
        <v>11701.292923169571</v>
      </c>
      <c r="H13">
        <v>3480.9791324549678</v>
      </c>
      <c r="I13">
        <v>582.49031106261248</v>
      </c>
      <c r="J13">
        <v>788.27792101996715</v>
      </c>
      <c r="K13">
        <v>3</v>
      </c>
      <c r="L13">
        <v>0</v>
      </c>
      <c r="M13">
        <v>1</v>
      </c>
      <c r="N13">
        <v>0</v>
      </c>
      <c r="O13">
        <v>2</v>
      </c>
      <c r="P13">
        <v>0.4493635380381017</v>
      </c>
      <c r="Q13">
        <v>0.26054190994227838</v>
      </c>
      <c r="R13">
        <v>900</v>
      </c>
      <c r="S13">
        <v>2.8996499412400529E-2</v>
      </c>
      <c r="T13" t="s">
        <v>27</v>
      </c>
      <c r="W13" s="24" t="s">
        <v>61</v>
      </c>
      <c r="X13" s="34">
        <f>AVERAGEIF(COOP6[[#All],[Cap (%)]],10,COOP6[[#All],[Number of DCs - Level 1]])</f>
        <v>0</v>
      </c>
      <c r="Y13" s="34">
        <f>AVERAGEIF(COOP6[[#All],[Cap (%)]],40,COOP6[[#All],[Number of DCs - Level 1]])</f>
        <v>0</v>
      </c>
      <c r="Z13" s="34">
        <f>AVERAGEIF(COOP6[[#All],[Cap (%)]],70,COOP6[[#All],[Number of DCs - Level 1]])</f>
        <v>0.2</v>
      </c>
      <c r="AA13" s="34">
        <f>AVERAGEIF(COOP6[[#All],[Cap (%)]],100,COOP6[[#All],[Number of DCs - Level 1]])</f>
        <v>0.2</v>
      </c>
      <c r="AB13" s="35">
        <f>AVERAGE(X13:AA13)</f>
        <v>0.1</v>
      </c>
      <c r="AD13" s="13">
        <f>AB15+AB16</f>
        <v>2.7</v>
      </c>
      <c r="AE13" s="3">
        <f>AD13/AB17</f>
        <v>0.75</v>
      </c>
    </row>
    <row r="14" spans="1:31" ht="15.5" x14ac:dyDescent="0.35">
      <c r="A14">
        <v>4</v>
      </c>
      <c r="B14">
        <v>10</v>
      </c>
      <c r="C14">
        <v>3</v>
      </c>
      <c r="D14">
        <v>48447.88768373843</v>
      </c>
      <c r="E14">
        <v>21000</v>
      </c>
      <c r="F14">
        <v>15194.432223274604</v>
      </c>
      <c r="G14">
        <v>5942.8603014337477</v>
      </c>
      <c r="H14">
        <v>4639.6004654713615</v>
      </c>
      <c r="I14">
        <v>606.80188980729213</v>
      </c>
      <c r="J14">
        <v>1064.1928037509142</v>
      </c>
      <c r="K14">
        <v>5</v>
      </c>
      <c r="L14">
        <v>0</v>
      </c>
      <c r="M14">
        <v>1</v>
      </c>
      <c r="N14">
        <v>4</v>
      </c>
      <c r="O14">
        <v>0</v>
      </c>
      <c r="P14">
        <v>0.90177397867737119</v>
      </c>
      <c r="Q14">
        <v>0.22319385695184163</v>
      </c>
      <c r="R14">
        <v>417</v>
      </c>
      <c r="S14">
        <v>1.9614376121383309E-2</v>
      </c>
      <c r="T14" t="s">
        <v>27</v>
      </c>
      <c r="W14" s="25" t="s">
        <v>62</v>
      </c>
      <c r="X14" s="26">
        <f>AVERAGEIF(COOP6[[#All],[Cap (%)]],10,COOP6[[#All],[Number of DCs - Level 2]])</f>
        <v>1.6</v>
      </c>
      <c r="Y14" s="26">
        <f>AVERAGEIF(COOP6[[#All],[Cap (%)]],40,COOP6[[#All],[Number of DCs - Level 2]])</f>
        <v>0.8</v>
      </c>
      <c r="Z14" s="26">
        <f>AVERAGEIF(COOP6[[#All],[Cap (%)]],70,COOP6[[#All],[Number of DCs - Level 2]])</f>
        <v>0.2</v>
      </c>
      <c r="AA14" s="26">
        <f>AVERAGEIF(COOP6[[#All],[Cap (%)]],100,COOP6[[#All],[Number of DCs - Level 2]])</f>
        <v>0.6</v>
      </c>
      <c r="AB14" s="27">
        <f>AVERAGE(X14:AA14)</f>
        <v>0.80000000000000016</v>
      </c>
    </row>
    <row r="15" spans="1:31" ht="15.5" x14ac:dyDescent="0.35">
      <c r="A15">
        <v>4</v>
      </c>
      <c r="B15">
        <v>40</v>
      </c>
      <c r="C15">
        <v>3</v>
      </c>
      <c r="D15">
        <v>44809.152652712051</v>
      </c>
      <c r="E15">
        <v>18750</v>
      </c>
      <c r="F15">
        <v>11706.051778914367</v>
      </c>
      <c r="G15">
        <v>8765.7501302674573</v>
      </c>
      <c r="H15">
        <v>4052.9189733719081</v>
      </c>
      <c r="I15">
        <v>606.80188980729201</v>
      </c>
      <c r="J15">
        <v>927.62988035150738</v>
      </c>
      <c r="K15">
        <v>4</v>
      </c>
      <c r="L15">
        <v>0</v>
      </c>
      <c r="M15">
        <v>1</v>
      </c>
      <c r="N15">
        <v>2</v>
      </c>
      <c r="O15">
        <v>1</v>
      </c>
      <c r="P15">
        <v>0.80340519640350239</v>
      </c>
      <c r="Q15">
        <v>0.26995400127395935</v>
      </c>
      <c r="R15">
        <v>596</v>
      </c>
      <c r="S15">
        <v>7.7311214785771151E-3</v>
      </c>
      <c r="T15" t="s">
        <v>27</v>
      </c>
      <c r="W15" s="25" t="s">
        <v>63</v>
      </c>
      <c r="X15" s="26">
        <f>AVERAGEIF(COOP6[[#All],[Cap (%)]],10,COOP6[[#All],[Number of DCs - Level 3]])</f>
        <v>2.2000000000000002</v>
      </c>
      <c r="Y15" s="26">
        <f>AVERAGEIF(COOP6[[#All],[Cap (%)]],40,COOP6[[#All],[Number of DCs - Level 3]])</f>
        <v>1</v>
      </c>
      <c r="Z15" s="26">
        <f>AVERAGEIF(COOP6[[#All],[Cap (%)]],70,COOP6[[#All],[Number of DCs - Level 3]])</f>
        <v>1</v>
      </c>
      <c r="AA15" s="26">
        <f>AVERAGEIF(COOP6[[#All],[Cap (%)]],100,COOP6[[#All],[Number of DCs - Level 3]])</f>
        <v>0.6</v>
      </c>
      <c r="AB15" s="27">
        <f>AVERAGE(X15:AA15)</f>
        <v>1.2</v>
      </c>
    </row>
    <row r="16" spans="1:31" ht="15.5" x14ac:dyDescent="0.35">
      <c r="A16">
        <v>4</v>
      </c>
      <c r="B16">
        <v>70</v>
      </c>
      <c r="C16">
        <v>3</v>
      </c>
      <c r="D16">
        <v>46656.091823547285</v>
      </c>
      <c r="E16">
        <v>20250</v>
      </c>
      <c r="F16">
        <v>10973.518175924753</v>
      </c>
      <c r="G16">
        <v>9707.5122072874619</v>
      </c>
      <c r="H16">
        <v>4166.6004563876213</v>
      </c>
      <c r="I16">
        <v>606.80188980729201</v>
      </c>
      <c r="J16">
        <v>951.65909414017062</v>
      </c>
      <c r="K16">
        <v>4</v>
      </c>
      <c r="L16">
        <v>0</v>
      </c>
      <c r="M16">
        <v>0</v>
      </c>
      <c r="N16">
        <v>3</v>
      </c>
      <c r="O16">
        <v>1</v>
      </c>
      <c r="P16">
        <v>0.66547615922425429</v>
      </c>
      <c r="Q16">
        <v>0.23883322311471938</v>
      </c>
      <c r="R16">
        <v>901</v>
      </c>
      <c r="S16">
        <v>6.6611167899614215E-2</v>
      </c>
      <c r="T16" t="s">
        <v>27</v>
      </c>
      <c r="W16" s="25" t="s">
        <v>64</v>
      </c>
      <c r="X16" s="26">
        <f>AVERAGEIF(COOP6[[#All],[Cap (%)]],10,COOP6[[#All],[Number of DCs - Level 4]])</f>
        <v>0.8</v>
      </c>
      <c r="Y16" s="26">
        <f>AVERAGEIF(COOP6[[#All],[Cap (%)]],Y4,COOP6[[#All],[Number of DCs - Level 4]])</f>
        <v>1.6</v>
      </c>
      <c r="Z16" s="26">
        <f>AVERAGEIF(COOP6[[#All],[Cap (%)]],Z4,COOP6[[#All],[Number of DCs - Level 4]])</f>
        <v>1.8</v>
      </c>
      <c r="AA16" s="26">
        <f>AVERAGEIF(COOP6[[#All],[Cap (%)]],AA4,COOP6[[#All],[Number of DCs - Level 4]])</f>
        <v>1.8</v>
      </c>
      <c r="AB16" s="27">
        <f>AVERAGE(X16:AA16)</f>
        <v>1.5</v>
      </c>
    </row>
    <row r="17" spans="1:28" ht="15.5" x14ac:dyDescent="0.35">
      <c r="A17">
        <v>4</v>
      </c>
      <c r="B17">
        <v>100</v>
      </c>
      <c r="C17">
        <v>3</v>
      </c>
      <c r="D17">
        <v>44338.555250729813</v>
      </c>
      <c r="E17">
        <v>18750</v>
      </c>
      <c r="F17">
        <v>9960.8491385463858</v>
      </c>
      <c r="G17">
        <v>10040.355829345826</v>
      </c>
      <c r="H17">
        <v>4052.9187547430834</v>
      </c>
      <c r="I17">
        <v>606.80188980729224</v>
      </c>
      <c r="J17">
        <v>927.62963828682598</v>
      </c>
      <c r="K17">
        <v>4</v>
      </c>
      <c r="L17">
        <v>0</v>
      </c>
      <c r="M17">
        <v>1</v>
      </c>
      <c r="N17">
        <v>2</v>
      </c>
      <c r="O17">
        <v>1</v>
      </c>
      <c r="P17">
        <v>0.38014399539040478</v>
      </c>
      <c r="Q17">
        <v>0.2780926569128121</v>
      </c>
      <c r="R17">
        <v>538</v>
      </c>
      <c r="S17">
        <v>1.43258888904339E-2</v>
      </c>
      <c r="T17" t="s">
        <v>27</v>
      </c>
      <c r="W17" s="36" t="s">
        <v>47</v>
      </c>
      <c r="X17" s="37">
        <f>SUM(X13:X16)</f>
        <v>4.6000000000000005</v>
      </c>
      <c r="Y17" s="37">
        <f t="shared" ref="Y17:AA17" si="2">SUM(Y13:Y16)</f>
        <v>3.4000000000000004</v>
      </c>
      <c r="Z17" s="37">
        <f t="shared" si="2"/>
        <v>3.2</v>
      </c>
      <c r="AA17" s="37">
        <f t="shared" si="2"/>
        <v>3.2</v>
      </c>
      <c r="AB17" s="38">
        <f>SUM(AB13:AB16)</f>
        <v>3.6</v>
      </c>
    </row>
    <row r="18" spans="1:28" x14ac:dyDescent="0.35">
      <c r="A18">
        <v>5</v>
      </c>
      <c r="B18">
        <v>10</v>
      </c>
      <c r="C18">
        <v>3</v>
      </c>
      <c r="D18">
        <v>49901.193547911309</v>
      </c>
      <c r="E18">
        <v>18750</v>
      </c>
      <c r="F18">
        <v>19038.251218092875</v>
      </c>
      <c r="G18">
        <v>6448.3560775114238</v>
      </c>
      <c r="H18">
        <v>4107.2018342956335</v>
      </c>
      <c r="I18">
        <v>613.87430120531894</v>
      </c>
      <c r="J18">
        <v>943.51011680585702</v>
      </c>
      <c r="K18">
        <v>4</v>
      </c>
      <c r="L18">
        <v>0</v>
      </c>
      <c r="M18">
        <v>1</v>
      </c>
      <c r="N18">
        <v>2</v>
      </c>
      <c r="O18">
        <v>1</v>
      </c>
      <c r="P18">
        <v>0.92979818108899137</v>
      </c>
      <c r="Q18">
        <v>0.22635136760745631</v>
      </c>
      <c r="R18">
        <v>544</v>
      </c>
      <c r="S18">
        <v>1.8569517296304346E-2</v>
      </c>
      <c r="T18" t="s">
        <v>27</v>
      </c>
    </row>
    <row r="19" spans="1:28" x14ac:dyDescent="0.35">
      <c r="A19">
        <v>5</v>
      </c>
      <c r="B19">
        <v>40</v>
      </c>
      <c r="C19">
        <v>3</v>
      </c>
      <c r="D19">
        <v>46175.351950013086</v>
      </c>
      <c r="E19">
        <v>18750</v>
      </c>
      <c r="F19">
        <v>12732.234533314626</v>
      </c>
      <c r="G19">
        <v>9020.2586728285387</v>
      </c>
      <c r="H19">
        <v>4110.5893399271818</v>
      </c>
      <c r="I19">
        <v>613.87430120531917</v>
      </c>
      <c r="J19">
        <v>948.39510273775454</v>
      </c>
      <c r="K19">
        <v>4</v>
      </c>
      <c r="L19">
        <v>0</v>
      </c>
      <c r="M19">
        <v>1</v>
      </c>
      <c r="N19">
        <v>2</v>
      </c>
      <c r="O19">
        <v>1</v>
      </c>
      <c r="P19">
        <v>0.82400803850000837</v>
      </c>
      <c r="Q19">
        <v>0.25967952684699752</v>
      </c>
      <c r="R19">
        <v>670</v>
      </c>
      <c r="S19">
        <v>7.9577374229335713E-3</v>
      </c>
      <c r="T19" t="s">
        <v>27</v>
      </c>
    </row>
    <row r="20" spans="1:28" x14ac:dyDescent="0.35">
      <c r="A20">
        <v>5</v>
      </c>
      <c r="B20">
        <v>70</v>
      </c>
      <c r="C20">
        <v>3</v>
      </c>
      <c r="D20">
        <v>45732.91094151885</v>
      </c>
      <c r="E20">
        <v>16500</v>
      </c>
      <c r="F20">
        <v>12839.014649579849</v>
      </c>
      <c r="G20">
        <v>11440.329468491962</v>
      </c>
      <c r="H20">
        <v>3526.0250610339058</v>
      </c>
      <c r="I20">
        <v>613.87430120531894</v>
      </c>
      <c r="J20">
        <v>813.66746120759854</v>
      </c>
      <c r="K20">
        <v>3</v>
      </c>
      <c r="L20">
        <v>0</v>
      </c>
      <c r="M20">
        <v>1</v>
      </c>
      <c r="N20">
        <v>0</v>
      </c>
      <c r="O20">
        <v>2</v>
      </c>
      <c r="P20">
        <v>0.77955849596456073</v>
      </c>
      <c r="Q20">
        <v>0.25936253943400733</v>
      </c>
      <c r="R20">
        <v>330</v>
      </c>
      <c r="S20">
        <v>1.7052275238422742E-2</v>
      </c>
      <c r="T20" t="s">
        <v>27</v>
      </c>
    </row>
    <row r="21" spans="1:28" x14ac:dyDescent="0.35">
      <c r="A21">
        <v>5</v>
      </c>
      <c r="B21">
        <v>100</v>
      </c>
      <c r="C21">
        <v>3</v>
      </c>
      <c r="D21">
        <v>45198.649341030359</v>
      </c>
      <c r="E21">
        <v>16500</v>
      </c>
      <c r="F21">
        <v>11843.390238150938</v>
      </c>
      <c r="G21">
        <v>11901.779567520114</v>
      </c>
      <c r="H21">
        <v>3522.2975777620277</v>
      </c>
      <c r="I21">
        <v>613.87430120531894</v>
      </c>
      <c r="J21">
        <v>817.30765639229162</v>
      </c>
      <c r="K21">
        <v>3</v>
      </c>
      <c r="L21">
        <v>0</v>
      </c>
      <c r="M21">
        <v>1</v>
      </c>
      <c r="N21">
        <v>0</v>
      </c>
      <c r="O21">
        <v>2</v>
      </c>
      <c r="P21">
        <v>0.48016754842761328</v>
      </c>
      <c r="Q21">
        <v>0.26697921668697833</v>
      </c>
      <c r="R21">
        <v>406</v>
      </c>
      <c r="S21">
        <v>8.652673165216368E-3</v>
      </c>
      <c r="T21" t="s">
        <v>27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5C868-E37D-4380-9A4E-1E3423111B05}">
  <sheetPr>
    <tabColor rgb="FFFF0000"/>
  </sheetPr>
  <dimension ref="A1:S86"/>
  <sheetViews>
    <sheetView topLeftCell="J68" workbookViewId="0">
      <selection activeCell="N90" sqref="N90"/>
    </sheetView>
  </sheetViews>
  <sheetFormatPr baseColWidth="10" defaultColWidth="8.7265625" defaultRowHeight="14.5" x14ac:dyDescent="0.35"/>
  <cols>
    <col min="2" max="2" width="9.453125" customWidth="1"/>
    <col min="3" max="3" width="10.1796875" customWidth="1"/>
    <col min="4" max="4" width="11.1796875" customWidth="1"/>
    <col min="5" max="5" width="14" customWidth="1"/>
    <col min="6" max="6" width="19.1796875" customWidth="1"/>
    <col min="7" max="7" width="18.54296875" customWidth="1"/>
    <col min="8" max="8" width="42.1796875" bestFit="1" customWidth="1"/>
    <col min="9" max="9" width="24.26953125" customWidth="1"/>
    <col min="10" max="10" width="20.26953125" customWidth="1"/>
    <col min="11" max="11" width="15.453125" customWidth="1"/>
    <col min="12" max="15" width="22.453125" customWidth="1"/>
    <col min="16" max="16" width="13.54296875" customWidth="1"/>
    <col min="17" max="17" width="10" customWidth="1"/>
    <col min="18" max="18" width="10.1796875" customWidth="1"/>
  </cols>
  <sheetData>
    <row r="1" spans="1:19" x14ac:dyDescent="0.35">
      <c r="A1" t="s">
        <v>0</v>
      </c>
    </row>
    <row r="3" spans="1:19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42</v>
      </c>
      <c r="P3" s="46" t="s">
        <v>15</v>
      </c>
      <c r="Q3" s="2" t="s">
        <v>16</v>
      </c>
      <c r="R3" s="2" t="s">
        <v>17</v>
      </c>
      <c r="S3" s="46" t="s">
        <v>18</v>
      </c>
    </row>
    <row r="4" spans="1:19" x14ac:dyDescent="0.35">
      <c r="A4">
        <v>1</v>
      </c>
      <c r="B4">
        <v>10</v>
      </c>
      <c r="C4">
        <v>1</v>
      </c>
      <c r="D4">
        <v>32585.849203110211</v>
      </c>
      <c r="E4">
        <v>13500</v>
      </c>
      <c r="F4">
        <v>9500.267722206032</v>
      </c>
      <c r="G4">
        <v>5879.1918123456335</v>
      </c>
      <c r="H4">
        <v>2118.6615460804628</v>
      </c>
      <c r="I4">
        <v>635.74997921666272</v>
      </c>
      <c r="J4">
        <v>951.97814326137063</v>
      </c>
      <c r="K4">
        <v>4</v>
      </c>
      <c r="L4">
        <v>0</v>
      </c>
      <c r="M4">
        <v>3</v>
      </c>
      <c r="N4">
        <v>1</v>
      </c>
      <c r="O4">
        <v>0</v>
      </c>
      <c r="P4" s="3">
        <v>0.8453524919376858</v>
      </c>
      <c r="Q4" s="3" t="str">
        <f t="shared" ref="Q4:Q63" si="0">IF($C4=3,(SUMIFS($D:$D,$A:$A,$A4,$B:$B,$B4,$C:$C,1)+SUMIFS($D:$D,$A:$A,$A4,$B:$B,$B4,$C:$C,2)-$D4)/(SUMIFS($D:$D,$A:$A,$A4,$B:$B,$B4,$C:$C,1)+SUMIFS($D:$D,$A:$A,$A4,$B:$B,$B4,$C:$C,2)),"")</f>
        <v/>
      </c>
      <c r="R4">
        <v>182</v>
      </c>
      <c r="S4" s="3">
        <v>1.4775276240489897E-2</v>
      </c>
    </row>
    <row r="5" spans="1:19" x14ac:dyDescent="0.35">
      <c r="A5">
        <v>1</v>
      </c>
      <c r="B5">
        <v>10</v>
      </c>
      <c r="C5">
        <v>2</v>
      </c>
      <c r="D5">
        <v>32100.865497793722</v>
      </c>
      <c r="E5">
        <v>12500</v>
      </c>
      <c r="F5">
        <v>10108.635251454451</v>
      </c>
      <c r="G5">
        <v>5860.0059920657804</v>
      </c>
      <c r="H5">
        <v>2041.5342612829561</v>
      </c>
      <c r="I5">
        <v>635.74997921666295</v>
      </c>
      <c r="J5">
        <v>954.94001377400502</v>
      </c>
      <c r="K5">
        <v>4</v>
      </c>
      <c r="L5">
        <v>1</v>
      </c>
      <c r="M5">
        <v>2</v>
      </c>
      <c r="N5">
        <v>1</v>
      </c>
      <c r="O5">
        <v>0</v>
      </c>
      <c r="P5" s="3">
        <v>0.84259381668075939</v>
      </c>
      <c r="Q5" s="3" t="str">
        <f t="shared" si="0"/>
        <v/>
      </c>
      <c r="R5">
        <v>230</v>
      </c>
      <c r="S5" s="3">
        <v>1.9795664205262371E-2</v>
      </c>
    </row>
    <row r="6" spans="1:19" x14ac:dyDescent="0.35">
      <c r="A6">
        <v>1</v>
      </c>
      <c r="B6">
        <v>10</v>
      </c>
      <c r="C6">
        <v>3</v>
      </c>
      <c r="D6">
        <v>50836.071075496999</v>
      </c>
      <c r="E6">
        <v>21750</v>
      </c>
      <c r="F6">
        <v>16520.796264412766</v>
      </c>
      <c r="G6">
        <v>6235.3170965511763</v>
      </c>
      <c r="H6">
        <v>4625.5352813903291</v>
      </c>
      <c r="I6">
        <v>635.74997921666261</v>
      </c>
      <c r="J6">
        <v>1068.6724539262364</v>
      </c>
      <c r="K6">
        <v>5</v>
      </c>
      <c r="L6">
        <v>0</v>
      </c>
      <c r="M6">
        <v>2</v>
      </c>
      <c r="N6">
        <v>2</v>
      </c>
      <c r="O6">
        <v>1</v>
      </c>
      <c r="P6" s="3">
        <v>0.89655874716021466</v>
      </c>
      <c r="Q6" s="3">
        <f t="shared" si="0"/>
        <v>0.21411882933688986</v>
      </c>
      <c r="R6">
        <v>901</v>
      </c>
      <c r="S6" s="3">
        <v>3.151588373775889E-2</v>
      </c>
    </row>
    <row r="7" spans="1:19" x14ac:dyDescent="0.35">
      <c r="A7">
        <v>1</v>
      </c>
      <c r="B7">
        <v>40</v>
      </c>
      <c r="C7">
        <v>1</v>
      </c>
      <c r="D7">
        <v>31841.179708947035</v>
      </c>
      <c r="E7">
        <v>13500</v>
      </c>
      <c r="F7">
        <v>7487.027184054381</v>
      </c>
      <c r="G7">
        <v>7140.931157684895</v>
      </c>
      <c r="H7">
        <v>2120.4394834310865</v>
      </c>
      <c r="I7">
        <v>635.74997921666318</v>
      </c>
      <c r="J7">
        <v>957.03190455988499</v>
      </c>
      <c r="K7">
        <v>4</v>
      </c>
      <c r="L7">
        <v>0</v>
      </c>
      <c r="M7">
        <v>3</v>
      </c>
      <c r="N7">
        <v>1</v>
      </c>
      <c r="O7">
        <v>0</v>
      </c>
      <c r="P7" s="3">
        <v>0.62912653272731922</v>
      </c>
      <c r="Q7" s="3" t="str">
        <f t="shared" si="0"/>
        <v/>
      </c>
      <c r="R7">
        <v>902</v>
      </c>
      <c r="S7" s="3">
        <v>2.1275703337900458E-2</v>
      </c>
    </row>
    <row r="8" spans="1:19" x14ac:dyDescent="0.35">
      <c r="A8">
        <v>1</v>
      </c>
      <c r="B8">
        <v>40</v>
      </c>
      <c r="C8">
        <v>2</v>
      </c>
      <c r="D8">
        <v>30840.109825697509</v>
      </c>
      <c r="E8">
        <v>12500</v>
      </c>
      <c r="F8">
        <v>7664.1830063479092</v>
      </c>
      <c r="G8">
        <v>7042.7361980202932</v>
      </c>
      <c r="H8">
        <v>2043.447628700467</v>
      </c>
      <c r="I8">
        <v>635.74997921666295</v>
      </c>
      <c r="J8">
        <v>953.9930134122236</v>
      </c>
      <c r="K8">
        <v>4</v>
      </c>
      <c r="L8">
        <v>1</v>
      </c>
      <c r="M8">
        <v>2</v>
      </c>
      <c r="N8">
        <v>1</v>
      </c>
      <c r="O8">
        <v>0</v>
      </c>
      <c r="P8" s="3">
        <v>0.6204754124264874</v>
      </c>
      <c r="Q8" s="3" t="str">
        <f t="shared" si="0"/>
        <v/>
      </c>
      <c r="R8">
        <v>446</v>
      </c>
      <c r="S8" s="3">
        <v>8.2069610246559843E-3</v>
      </c>
    </row>
    <row r="9" spans="1:19" x14ac:dyDescent="0.35">
      <c r="A9">
        <v>1</v>
      </c>
      <c r="B9">
        <v>40</v>
      </c>
      <c r="C9">
        <v>3</v>
      </c>
      <c r="D9">
        <v>47674.470737939388</v>
      </c>
      <c r="E9">
        <v>18000</v>
      </c>
      <c r="F9">
        <v>14871.34789166243</v>
      </c>
      <c r="G9">
        <v>9681.3903732009912</v>
      </c>
      <c r="H9">
        <v>3647.9817502425403</v>
      </c>
      <c r="I9">
        <v>635.74997921666306</v>
      </c>
      <c r="J9">
        <v>838.00074361696329</v>
      </c>
      <c r="K9">
        <v>3</v>
      </c>
      <c r="L9">
        <v>0</v>
      </c>
      <c r="M9">
        <v>0</v>
      </c>
      <c r="N9">
        <v>1</v>
      </c>
      <c r="O9">
        <v>2</v>
      </c>
      <c r="P9" s="3">
        <v>0.85294472429086443</v>
      </c>
      <c r="Q9" s="3">
        <f t="shared" si="0"/>
        <v>0.23941464682871186</v>
      </c>
      <c r="R9">
        <v>906</v>
      </c>
      <c r="S9" s="3">
        <v>3.3965137709602682E-2</v>
      </c>
    </row>
    <row r="10" spans="1:19" x14ac:dyDescent="0.35">
      <c r="A10">
        <v>1</v>
      </c>
      <c r="B10">
        <v>70</v>
      </c>
      <c r="C10">
        <v>1</v>
      </c>
      <c r="D10">
        <v>31690.128542150069</v>
      </c>
      <c r="E10">
        <v>9750.002069704291</v>
      </c>
      <c r="F10">
        <v>9735.678563548563</v>
      </c>
      <c r="G10">
        <v>9455.7139628372952</v>
      </c>
      <c r="H10">
        <v>1454.8587788208147</v>
      </c>
      <c r="I10">
        <v>635.74997937761145</v>
      </c>
      <c r="J10">
        <v>658.12518786138639</v>
      </c>
      <c r="K10">
        <v>2</v>
      </c>
      <c r="L10">
        <v>0</v>
      </c>
      <c r="M10">
        <v>1</v>
      </c>
      <c r="N10">
        <v>0</v>
      </c>
      <c r="O10">
        <v>1</v>
      </c>
      <c r="P10" s="3">
        <v>0.61972060336603485</v>
      </c>
      <c r="Q10" s="3" t="str">
        <f t="shared" si="0"/>
        <v/>
      </c>
      <c r="R10">
        <v>213</v>
      </c>
      <c r="S10" s="3">
        <v>1.9716209476030901E-2</v>
      </c>
    </row>
    <row r="11" spans="1:19" x14ac:dyDescent="0.35">
      <c r="A11">
        <v>1</v>
      </c>
      <c r="B11">
        <v>70</v>
      </c>
      <c r="C11">
        <v>2</v>
      </c>
      <c r="D11">
        <v>30849.812444438347</v>
      </c>
      <c r="E11">
        <v>12500</v>
      </c>
      <c r="F11">
        <v>7340.549165026443</v>
      </c>
      <c r="G11">
        <v>7378.2291092095811</v>
      </c>
      <c r="H11">
        <v>2040.6907098836723</v>
      </c>
      <c r="I11">
        <v>635.74997921666306</v>
      </c>
      <c r="J11">
        <v>954.59348110189478</v>
      </c>
      <c r="K11">
        <v>4</v>
      </c>
      <c r="L11">
        <v>1</v>
      </c>
      <c r="M11">
        <v>2</v>
      </c>
      <c r="N11">
        <v>1</v>
      </c>
      <c r="O11">
        <v>0</v>
      </c>
      <c r="P11" s="3">
        <v>0.48356374936877417</v>
      </c>
      <c r="Q11" s="3" t="str">
        <f t="shared" si="0"/>
        <v/>
      </c>
      <c r="R11">
        <v>113</v>
      </c>
      <c r="S11" s="3">
        <v>1.5382283037095133E-2</v>
      </c>
    </row>
    <row r="12" spans="1:19" x14ac:dyDescent="0.35">
      <c r="A12">
        <v>1</v>
      </c>
      <c r="B12">
        <v>70</v>
      </c>
      <c r="C12">
        <v>3</v>
      </c>
      <c r="D12">
        <v>48094.560032312307</v>
      </c>
      <c r="E12">
        <v>18000</v>
      </c>
      <c r="F12">
        <v>13731.658456557388</v>
      </c>
      <c r="G12">
        <v>11228.397500751906</v>
      </c>
      <c r="H12">
        <v>3656.4134434789789</v>
      </c>
      <c r="I12">
        <v>635.74997921666284</v>
      </c>
      <c r="J12">
        <v>842.34065230731278</v>
      </c>
      <c r="K12">
        <v>3</v>
      </c>
      <c r="L12">
        <v>0</v>
      </c>
      <c r="M12">
        <v>0</v>
      </c>
      <c r="N12">
        <v>1</v>
      </c>
      <c r="O12">
        <v>2</v>
      </c>
      <c r="P12" s="3">
        <v>0.73590097494929019</v>
      </c>
      <c r="Q12" s="3">
        <f t="shared" si="0"/>
        <v>0.23097848712991104</v>
      </c>
      <c r="R12">
        <v>901</v>
      </c>
      <c r="S12" s="3">
        <v>5.6691437798131003E-2</v>
      </c>
    </row>
    <row r="13" spans="1:19" x14ac:dyDescent="0.35">
      <c r="A13">
        <v>1</v>
      </c>
      <c r="B13">
        <v>100</v>
      </c>
      <c r="C13">
        <v>1</v>
      </c>
      <c r="D13">
        <v>31638.367421927345</v>
      </c>
      <c r="E13">
        <v>9750</v>
      </c>
      <c r="F13">
        <v>9554.7768739332259</v>
      </c>
      <c r="G13">
        <v>9584.858189539771</v>
      </c>
      <c r="H13">
        <v>1454.8580856391404</v>
      </c>
      <c r="I13">
        <v>635.74997921666295</v>
      </c>
      <c r="J13">
        <v>658.12429359855355</v>
      </c>
      <c r="K13">
        <v>2</v>
      </c>
      <c r="L13">
        <v>0</v>
      </c>
      <c r="M13">
        <v>1</v>
      </c>
      <c r="N13">
        <v>0</v>
      </c>
      <c r="O13">
        <v>1</v>
      </c>
      <c r="P13" s="3">
        <v>0.35941483309493827</v>
      </c>
      <c r="Q13" s="3" t="str">
        <f t="shared" si="0"/>
        <v/>
      </c>
      <c r="R13">
        <v>149</v>
      </c>
      <c r="S13" s="3">
        <v>1.990687837678801E-2</v>
      </c>
    </row>
    <row r="14" spans="1:19" x14ac:dyDescent="0.35">
      <c r="A14">
        <v>1</v>
      </c>
      <c r="B14">
        <v>100</v>
      </c>
      <c r="C14">
        <v>2</v>
      </c>
      <c r="D14">
        <v>30821.745392347853</v>
      </c>
      <c r="E14">
        <v>12500</v>
      </c>
      <c r="F14">
        <v>7323.6766757305086</v>
      </c>
      <c r="G14">
        <v>7368.2023520205248</v>
      </c>
      <c r="H14">
        <v>2041.5854545579043</v>
      </c>
      <c r="I14">
        <v>635.74997921666306</v>
      </c>
      <c r="J14">
        <v>952.53093082214548</v>
      </c>
      <c r="K14">
        <v>4</v>
      </c>
      <c r="L14">
        <v>1</v>
      </c>
      <c r="M14">
        <v>2</v>
      </c>
      <c r="N14">
        <v>1</v>
      </c>
      <c r="O14">
        <v>0</v>
      </c>
      <c r="P14" s="3">
        <v>0.27629425143204411</v>
      </c>
      <c r="Q14" s="3" t="str">
        <f t="shared" si="0"/>
        <v/>
      </c>
      <c r="R14">
        <v>483</v>
      </c>
      <c r="S14" s="3">
        <v>1.0518402691254817E-2</v>
      </c>
    </row>
    <row r="15" spans="1:19" x14ac:dyDescent="0.35">
      <c r="A15">
        <v>1</v>
      </c>
      <c r="B15">
        <v>100</v>
      </c>
      <c r="C15">
        <v>3</v>
      </c>
      <c r="D15">
        <v>47650.458356164549</v>
      </c>
      <c r="E15">
        <v>18000</v>
      </c>
      <c r="F15">
        <v>12235.414991054578</v>
      </c>
      <c r="G15">
        <v>12287.726027734763</v>
      </c>
      <c r="H15">
        <v>3651.9242798847627</v>
      </c>
      <c r="I15">
        <v>635.74997921666295</v>
      </c>
      <c r="J15">
        <v>839.6430782740689</v>
      </c>
      <c r="K15">
        <v>3</v>
      </c>
      <c r="L15">
        <v>0</v>
      </c>
      <c r="M15">
        <v>0</v>
      </c>
      <c r="N15">
        <v>1</v>
      </c>
      <c r="O15">
        <v>2</v>
      </c>
      <c r="P15" s="3">
        <v>0.46076748471817269</v>
      </c>
      <c r="Q15" s="3">
        <f t="shared" si="0"/>
        <v>0.23710579105335713</v>
      </c>
      <c r="R15">
        <v>901</v>
      </c>
      <c r="S15" s="3">
        <v>4.9036841672756779E-2</v>
      </c>
    </row>
    <row r="16" spans="1:19" x14ac:dyDescent="0.35">
      <c r="A16">
        <v>2</v>
      </c>
      <c r="B16">
        <v>10</v>
      </c>
      <c r="C16">
        <v>1</v>
      </c>
      <c r="D16">
        <v>31060.999623742886</v>
      </c>
      <c r="E16">
        <v>12500</v>
      </c>
      <c r="F16">
        <v>9544.492186182586</v>
      </c>
      <c r="G16">
        <v>5805.4328813927023</v>
      </c>
      <c r="H16">
        <v>2030.7817255480525</v>
      </c>
      <c r="I16">
        <v>465.72808319977071</v>
      </c>
      <c r="J16">
        <v>714.56474741985903</v>
      </c>
      <c r="K16">
        <v>4</v>
      </c>
      <c r="L16">
        <v>1</v>
      </c>
      <c r="M16">
        <v>2</v>
      </c>
      <c r="N16">
        <v>1</v>
      </c>
      <c r="O16">
        <v>0</v>
      </c>
      <c r="P16" s="3">
        <v>0.85457473283275542</v>
      </c>
      <c r="Q16" s="3" t="str">
        <f t="shared" si="0"/>
        <v/>
      </c>
      <c r="R16">
        <v>170</v>
      </c>
      <c r="S16" s="3">
        <v>1.1851275709831072E-2</v>
      </c>
    </row>
    <row r="17" spans="1:19" x14ac:dyDescent="0.35">
      <c r="A17">
        <v>2</v>
      </c>
      <c r="B17">
        <v>10</v>
      </c>
      <c r="C17">
        <v>2</v>
      </c>
      <c r="D17">
        <v>30600.020914674042</v>
      </c>
      <c r="E17">
        <v>13500</v>
      </c>
      <c r="F17">
        <v>8073.1898677769941</v>
      </c>
      <c r="G17">
        <v>5612.7039074295217</v>
      </c>
      <c r="H17">
        <v>2181.2992851857398</v>
      </c>
      <c r="I17">
        <v>465.72808319977065</v>
      </c>
      <c r="J17">
        <v>767.09977108184898</v>
      </c>
      <c r="K17">
        <v>5</v>
      </c>
      <c r="L17">
        <v>3</v>
      </c>
      <c r="M17">
        <v>1</v>
      </c>
      <c r="N17">
        <v>1</v>
      </c>
      <c r="O17">
        <v>0</v>
      </c>
      <c r="P17" s="3">
        <v>0.82620452947348333</v>
      </c>
      <c r="Q17" s="3" t="str">
        <f t="shared" si="0"/>
        <v/>
      </c>
      <c r="R17">
        <v>901</v>
      </c>
      <c r="S17" s="3">
        <v>2.6784054255725623E-2</v>
      </c>
    </row>
    <row r="18" spans="1:19" x14ac:dyDescent="0.35">
      <c r="A18">
        <v>2</v>
      </c>
      <c r="B18">
        <v>10</v>
      </c>
      <c r="C18">
        <v>3</v>
      </c>
      <c r="D18">
        <v>47756.829198145635</v>
      </c>
      <c r="E18">
        <v>20250</v>
      </c>
      <c r="F18">
        <v>15734.765924358475</v>
      </c>
      <c r="G18">
        <v>6127.6270695636158</v>
      </c>
      <c r="H18">
        <v>4406.5220952375294</v>
      </c>
      <c r="I18">
        <v>465.72808319977059</v>
      </c>
      <c r="J18">
        <v>772.18602578619345</v>
      </c>
      <c r="K18">
        <v>5</v>
      </c>
      <c r="L18">
        <v>0</v>
      </c>
      <c r="M18">
        <v>3</v>
      </c>
      <c r="N18">
        <v>1</v>
      </c>
      <c r="O18">
        <v>1</v>
      </c>
      <c r="P18" s="3">
        <v>0.90200255051693334</v>
      </c>
      <c r="Q18" s="3">
        <f t="shared" si="0"/>
        <v>0.22549401905549879</v>
      </c>
      <c r="R18">
        <v>650</v>
      </c>
      <c r="S18" s="3">
        <v>9.9786529896233322E-3</v>
      </c>
    </row>
    <row r="19" spans="1:19" x14ac:dyDescent="0.35">
      <c r="A19">
        <v>2</v>
      </c>
      <c r="B19">
        <v>40</v>
      </c>
      <c r="C19">
        <v>1</v>
      </c>
      <c r="D19">
        <v>30022.155585863646</v>
      </c>
      <c r="E19">
        <v>11000</v>
      </c>
      <c r="F19">
        <v>8333.3442954839993</v>
      </c>
      <c r="G19">
        <v>7860.8546809222598</v>
      </c>
      <c r="H19">
        <v>1742.2556585197158</v>
      </c>
      <c r="I19">
        <v>465.72808319977065</v>
      </c>
      <c r="J19">
        <v>619.97286773775193</v>
      </c>
      <c r="K19">
        <v>3</v>
      </c>
      <c r="L19">
        <v>1</v>
      </c>
      <c r="M19">
        <v>0</v>
      </c>
      <c r="N19">
        <v>2</v>
      </c>
      <c r="O19">
        <v>0</v>
      </c>
      <c r="P19" s="3">
        <v>0.71559449871373648</v>
      </c>
      <c r="Q19" s="3" t="str">
        <f t="shared" si="0"/>
        <v/>
      </c>
      <c r="R19">
        <v>417</v>
      </c>
      <c r="S19" s="3">
        <v>9.0037838805636372E-3</v>
      </c>
    </row>
    <row r="20" spans="1:19" x14ac:dyDescent="0.35">
      <c r="A20">
        <v>2</v>
      </c>
      <c r="B20">
        <v>40</v>
      </c>
      <c r="C20">
        <v>2</v>
      </c>
      <c r="D20">
        <v>29670.626650926217</v>
      </c>
      <c r="E20">
        <v>11000</v>
      </c>
      <c r="F20">
        <v>8389.5758648868741</v>
      </c>
      <c r="G20">
        <v>7491.2650952730746</v>
      </c>
      <c r="H20">
        <v>1692.2956197152275</v>
      </c>
      <c r="I20">
        <v>465.72808319977071</v>
      </c>
      <c r="J20">
        <v>631.7619878514364</v>
      </c>
      <c r="K20">
        <v>3</v>
      </c>
      <c r="L20">
        <v>1</v>
      </c>
      <c r="M20">
        <v>0</v>
      </c>
      <c r="N20">
        <v>2</v>
      </c>
      <c r="O20">
        <v>0</v>
      </c>
      <c r="P20" s="3">
        <v>0.68194977622391462</v>
      </c>
      <c r="Q20" s="3" t="str">
        <f t="shared" si="0"/>
        <v/>
      </c>
      <c r="R20">
        <v>901</v>
      </c>
      <c r="S20" s="3">
        <v>2.6111330698192579E-2</v>
      </c>
    </row>
    <row r="21" spans="1:19" x14ac:dyDescent="0.35">
      <c r="A21">
        <v>2</v>
      </c>
      <c r="B21">
        <v>40</v>
      </c>
      <c r="C21">
        <v>3</v>
      </c>
      <c r="D21">
        <v>45041.731420093347</v>
      </c>
      <c r="E21">
        <v>16500</v>
      </c>
      <c r="F21">
        <v>14522.844891889195</v>
      </c>
      <c r="G21">
        <v>9516.0145590289139</v>
      </c>
      <c r="H21">
        <v>3436.4501127565504</v>
      </c>
      <c r="I21">
        <v>465.72808319977065</v>
      </c>
      <c r="J21">
        <v>600.69377321848594</v>
      </c>
      <c r="K21">
        <v>3</v>
      </c>
      <c r="L21">
        <v>0</v>
      </c>
      <c r="M21">
        <v>1</v>
      </c>
      <c r="N21">
        <v>0</v>
      </c>
      <c r="O21">
        <v>2</v>
      </c>
      <c r="P21" s="3">
        <v>0.86626810245549402</v>
      </c>
      <c r="Q21" s="3">
        <f t="shared" si="0"/>
        <v>0.24544091040318067</v>
      </c>
      <c r="R21">
        <v>755</v>
      </c>
      <c r="S21" s="3">
        <v>1.9786008662051654E-2</v>
      </c>
    </row>
    <row r="22" spans="1:19" x14ac:dyDescent="0.35">
      <c r="A22">
        <v>2</v>
      </c>
      <c r="B22">
        <v>70</v>
      </c>
      <c r="C22">
        <v>1</v>
      </c>
      <c r="D22">
        <v>30017.311905054714</v>
      </c>
      <c r="E22">
        <v>11000</v>
      </c>
      <c r="F22">
        <v>8086.3490237039005</v>
      </c>
      <c r="G22">
        <v>8105.1527357644518</v>
      </c>
      <c r="H22">
        <v>1744.3317595545436</v>
      </c>
      <c r="I22">
        <v>465.72808319977065</v>
      </c>
      <c r="J22">
        <v>615.75030283208605</v>
      </c>
      <c r="K22">
        <v>3</v>
      </c>
      <c r="L22">
        <v>1</v>
      </c>
      <c r="M22">
        <v>0</v>
      </c>
      <c r="N22">
        <v>2</v>
      </c>
      <c r="O22">
        <v>0</v>
      </c>
      <c r="P22" s="3">
        <v>0.55623587824855769</v>
      </c>
      <c r="Q22" s="3" t="str">
        <f t="shared" si="0"/>
        <v/>
      </c>
      <c r="R22">
        <v>223</v>
      </c>
      <c r="S22" s="3">
        <v>1.1960262121641354E-2</v>
      </c>
    </row>
    <row r="23" spans="1:19" x14ac:dyDescent="0.35">
      <c r="A23">
        <v>2</v>
      </c>
      <c r="B23">
        <v>70</v>
      </c>
      <c r="C23">
        <v>2</v>
      </c>
      <c r="D23">
        <v>29314.721365058918</v>
      </c>
      <c r="E23">
        <v>11000</v>
      </c>
      <c r="F23">
        <v>7831.1004168026529</v>
      </c>
      <c r="G23">
        <v>7697.4900818610768</v>
      </c>
      <c r="H23">
        <v>1692.1442687397034</v>
      </c>
      <c r="I23">
        <v>465.72808319977082</v>
      </c>
      <c r="J23">
        <v>628.25851445564001</v>
      </c>
      <c r="K23">
        <v>3</v>
      </c>
      <c r="L23">
        <v>1</v>
      </c>
      <c r="M23">
        <v>0</v>
      </c>
      <c r="N23">
        <v>2</v>
      </c>
      <c r="O23">
        <v>0</v>
      </c>
      <c r="P23" s="3">
        <v>0.5282590341697897</v>
      </c>
      <c r="Q23" s="3" t="str">
        <f t="shared" si="0"/>
        <v/>
      </c>
      <c r="R23">
        <v>634</v>
      </c>
      <c r="S23" s="3">
        <v>1.8506684930134722E-2</v>
      </c>
    </row>
    <row r="24" spans="1:19" x14ac:dyDescent="0.35">
      <c r="A24">
        <v>2</v>
      </c>
      <c r="B24">
        <v>70</v>
      </c>
      <c r="C24">
        <v>3</v>
      </c>
      <c r="D24">
        <v>44088.524352724329</v>
      </c>
      <c r="E24">
        <v>15500</v>
      </c>
      <c r="F24">
        <v>12856.96262924596</v>
      </c>
      <c r="G24">
        <v>11351.787082607052</v>
      </c>
      <c r="H24">
        <v>3318.1230970213769</v>
      </c>
      <c r="I24">
        <v>465.72808319977077</v>
      </c>
      <c r="J24">
        <v>595.92346065005574</v>
      </c>
      <c r="K24">
        <v>3</v>
      </c>
      <c r="L24">
        <v>1</v>
      </c>
      <c r="M24">
        <v>0</v>
      </c>
      <c r="N24">
        <v>0</v>
      </c>
      <c r="O24">
        <v>2</v>
      </c>
      <c r="P24" s="3">
        <v>0.77904408015933879</v>
      </c>
      <c r="Q24" s="3">
        <f t="shared" si="0"/>
        <v>0.25691870103274672</v>
      </c>
      <c r="R24">
        <v>499</v>
      </c>
      <c r="S24" s="3">
        <v>1.9430535826852124E-2</v>
      </c>
    </row>
    <row r="25" spans="1:19" x14ac:dyDescent="0.35">
      <c r="A25">
        <v>2</v>
      </c>
      <c r="B25">
        <v>100</v>
      </c>
      <c r="C25">
        <v>1</v>
      </c>
      <c r="D25">
        <v>29936.877576218347</v>
      </c>
      <c r="E25">
        <v>11000</v>
      </c>
      <c r="F25">
        <v>8030.6104590964542</v>
      </c>
      <c r="G25">
        <v>8079.0312903260528</v>
      </c>
      <c r="H25">
        <v>1742.3737762716444</v>
      </c>
      <c r="I25">
        <v>465.72808319977071</v>
      </c>
      <c r="J25">
        <v>619.13396732453225</v>
      </c>
      <c r="K25">
        <v>3</v>
      </c>
      <c r="L25">
        <v>1</v>
      </c>
      <c r="M25">
        <v>0</v>
      </c>
      <c r="N25">
        <v>2</v>
      </c>
      <c r="O25">
        <v>0</v>
      </c>
      <c r="P25" s="3">
        <v>0.30244281973877335</v>
      </c>
      <c r="Q25" s="3" t="str">
        <f t="shared" si="0"/>
        <v/>
      </c>
      <c r="R25">
        <v>106</v>
      </c>
      <c r="S25" s="3">
        <v>8.3881036116208139E-3</v>
      </c>
    </row>
    <row r="26" spans="1:19" x14ac:dyDescent="0.35">
      <c r="A26">
        <v>2</v>
      </c>
      <c r="B26">
        <v>100</v>
      </c>
      <c r="C26">
        <v>2</v>
      </c>
      <c r="D26">
        <v>29306.392739388539</v>
      </c>
      <c r="E26">
        <v>11000</v>
      </c>
      <c r="F26">
        <v>7735.5427941152557</v>
      </c>
      <c r="G26">
        <v>7785.6790260980342</v>
      </c>
      <c r="H26">
        <v>1691.0656454219047</v>
      </c>
      <c r="I26">
        <v>465.72808319977071</v>
      </c>
      <c r="J26">
        <v>628.37719055350715</v>
      </c>
      <c r="K26">
        <v>3</v>
      </c>
      <c r="L26">
        <v>1</v>
      </c>
      <c r="M26">
        <v>0</v>
      </c>
      <c r="N26">
        <v>2</v>
      </c>
      <c r="O26">
        <v>0</v>
      </c>
      <c r="P26" s="3">
        <v>0.29146102219627429</v>
      </c>
      <c r="Q26" s="3" t="str">
        <f t="shared" si="0"/>
        <v/>
      </c>
      <c r="R26">
        <v>446</v>
      </c>
      <c r="S26" s="3">
        <v>1.990754241733712E-2</v>
      </c>
    </row>
    <row r="27" spans="1:19" x14ac:dyDescent="0.35">
      <c r="A27">
        <v>2</v>
      </c>
      <c r="B27">
        <v>100</v>
      </c>
      <c r="C27">
        <v>3</v>
      </c>
      <c r="D27">
        <v>43736.464874732897</v>
      </c>
      <c r="E27">
        <v>15500</v>
      </c>
      <c r="F27">
        <v>11896.838650539894</v>
      </c>
      <c r="G27">
        <v>11960.452175298435</v>
      </c>
      <c r="H27">
        <v>3318.4598385237159</v>
      </c>
      <c r="I27">
        <v>465.72808319977065</v>
      </c>
      <c r="J27">
        <v>594.986127171112</v>
      </c>
      <c r="K27">
        <v>3</v>
      </c>
      <c r="L27">
        <v>1</v>
      </c>
      <c r="M27">
        <v>0</v>
      </c>
      <c r="N27">
        <v>0</v>
      </c>
      <c r="O27">
        <v>2</v>
      </c>
      <c r="P27" s="3">
        <v>0.44774586844087039</v>
      </c>
      <c r="Q27" s="3">
        <f t="shared" si="0"/>
        <v>0.26174796492942626</v>
      </c>
      <c r="R27">
        <v>340</v>
      </c>
      <c r="S27" s="3">
        <v>1.5865912873120572E-2</v>
      </c>
    </row>
    <row r="28" spans="1:19" x14ac:dyDescent="0.35">
      <c r="A28">
        <v>3</v>
      </c>
      <c r="B28">
        <v>10</v>
      </c>
      <c r="C28">
        <v>1</v>
      </c>
      <c r="D28">
        <v>31444.831942168446</v>
      </c>
      <c r="E28">
        <v>11000</v>
      </c>
      <c r="F28">
        <v>11368.319081569069</v>
      </c>
      <c r="G28">
        <v>5957.9700324389441</v>
      </c>
      <c r="H28">
        <v>1742.9363664254606</v>
      </c>
      <c r="I28">
        <v>582.49031106261259</v>
      </c>
      <c r="J28">
        <v>793.11615067232617</v>
      </c>
      <c r="K28">
        <v>3</v>
      </c>
      <c r="L28">
        <v>1</v>
      </c>
      <c r="M28">
        <v>0</v>
      </c>
      <c r="N28">
        <v>2</v>
      </c>
      <c r="O28">
        <v>0</v>
      </c>
      <c r="P28" s="3">
        <v>0.89626451284680575</v>
      </c>
      <c r="Q28" s="3" t="str">
        <f t="shared" si="0"/>
        <v/>
      </c>
      <c r="R28">
        <v>901</v>
      </c>
      <c r="S28" s="3">
        <v>2.3163398894829806E-2</v>
      </c>
    </row>
    <row r="29" spans="1:19" x14ac:dyDescent="0.35">
      <c r="A29">
        <v>3</v>
      </c>
      <c r="B29">
        <v>10</v>
      </c>
      <c r="C29">
        <v>2</v>
      </c>
      <c r="D29">
        <v>31202.730034492484</v>
      </c>
      <c r="E29">
        <v>12500</v>
      </c>
      <c r="F29">
        <v>9504.0504742808425</v>
      </c>
      <c r="G29">
        <v>5665.207823710788</v>
      </c>
      <c r="H29">
        <v>2028.4819202687136</v>
      </c>
      <c r="I29">
        <v>582.49031106261259</v>
      </c>
      <c r="J29">
        <v>922.4995051694483</v>
      </c>
      <c r="K29">
        <v>4</v>
      </c>
      <c r="L29">
        <v>1</v>
      </c>
      <c r="M29">
        <v>2</v>
      </c>
      <c r="N29">
        <v>1</v>
      </c>
      <c r="O29">
        <v>0</v>
      </c>
      <c r="P29" s="3">
        <v>0.85222394584880712</v>
      </c>
      <c r="Q29" s="3" t="str">
        <f t="shared" si="0"/>
        <v/>
      </c>
      <c r="R29">
        <v>627</v>
      </c>
      <c r="S29" s="3">
        <v>1.9385390661805616E-2</v>
      </c>
    </row>
    <row r="30" spans="1:19" x14ac:dyDescent="0.35">
      <c r="A30">
        <v>3</v>
      </c>
      <c r="B30">
        <v>10</v>
      </c>
      <c r="C30">
        <v>3</v>
      </c>
      <c r="D30">
        <v>49509.387167824549</v>
      </c>
      <c r="E30">
        <v>18750</v>
      </c>
      <c r="F30">
        <v>19190.326362480559</v>
      </c>
      <c r="G30">
        <v>6001.7967186129308</v>
      </c>
      <c r="H30">
        <v>4059.7530225953437</v>
      </c>
      <c r="I30">
        <v>582.49031106261248</v>
      </c>
      <c r="J30">
        <v>925.02075307309769</v>
      </c>
      <c r="K30">
        <v>4</v>
      </c>
      <c r="L30">
        <v>0</v>
      </c>
      <c r="M30">
        <v>1</v>
      </c>
      <c r="N30">
        <v>2</v>
      </c>
      <c r="O30">
        <v>1</v>
      </c>
      <c r="P30" s="3">
        <v>0.90285741333464831</v>
      </c>
      <c r="Q30" s="3">
        <f t="shared" si="0"/>
        <v>0.20971566002410358</v>
      </c>
      <c r="R30">
        <v>902</v>
      </c>
      <c r="S30" s="3">
        <v>2.9220218793252539E-2</v>
      </c>
    </row>
    <row r="31" spans="1:19" x14ac:dyDescent="0.35">
      <c r="A31">
        <v>3</v>
      </c>
      <c r="B31">
        <v>40</v>
      </c>
      <c r="C31">
        <v>1</v>
      </c>
      <c r="D31">
        <v>30186.543810504296</v>
      </c>
      <c r="E31">
        <v>11000</v>
      </c>
      <c r="F31">
        <v>8480.0802285766258</v>
      </c>
      <c r="G31">
        <v>7588.0347612283531</v>
      </c>
      <c r="H31">
        <v>1742.1814526227085</v>
      </c>
      <c r="I31">
        <v>582.49031106261259</v>
      </c>
      <c r="J31">
        <v>793.75705701410891</v>
      </c>
      <c r="K31">
        <v>3</v>
      </c>
      <c r="L31">
        <v>1</v>
      </c>
      <c r="M31">
        <v>0</v>
      </c>
      <c r="N31">
        <v>2</v>
      </c>
      <c r="O31">
        <v>0</v>
      </c>
      <c r="P31" s="3">
        <v>0.71601074134357845</v>
      </c>
      <c r="Q31" s="3" t="str">
        <f t="shared" si="0"/>
        <v/>
      </c>
      <c r="R31">
        <v>902</v>
      </c>
      <c r="S31" s="3">
        <v>2.0797313480826442E-2</v>
      </c>
    </row>
    <row r="32" spans="1:19" x14ac:dyDescent="0.35">
      <c r="A32">
        <v>3</v>
      </c>
      <c r="B32">
        <v>40</v>
      </c>
      <c r="C32">
        <v>2</v>
      </c>
      <c r="D32">
        <v>30252.094418085551</v>
      </c>
      <c r="E32">
        <v>11000</v>
      </c>
      <c r="F32">
        <v>8590.3286926484307</v>
      </c>
      <c r="G32">
        <v>7560.5950026029459</v>
      </c>
      <c r="H32">
        <v>1738.733054277968</v>
      </c>
      <c r="I32">
        <v>582.49031106261259</v>
      </c>
      <c r="J32">
        <v>779.94735749353424</v>
      </c>
      <c r="K32">
        <v>3</v>
      </c>
      <c r="L32">
        <v>1</v>
      </c>
      <c r="M32">
        <v>0</v>
      </c>
      <c r="N32">
        <v>2</v>
      </c>
      <c r="O32">
        <v>0</v>
      </c>
      <c r="P32" s="3">
        <v>0.713421512045888</v>
      </c>
      <c r="Q32" s="3" t="str">
        <f t="shared" si="0"/>
        <v/>
      </c>
      <c r="R32">
        <v>904</v>
      </c>
      <c r="S32" s="3">
        <v>2.2196284631803356E-2</v>
      </c>
    </row>
    <row r="33" spans="1:19" x14ac:dyDescent="0.35">
      <c r="A33">
        <v>3</v>
      </c>
      <c r="B33">
        <v>40</v>
      </c>
      <c r="C33">
        <v>3</v>
      </c>
      <c r="D33">
        <v>45486.400101837964</v>
      </c>
      <c r="E33">
        <v>16500</v>
      </c>
      <c r="F33">
        <v>14689.693628432602</v>
      </c>
      <c r="G33">
        <v>9453.654943140953</v>
      </c>
      <c r="H33">
        <v>3471.6257725774603</v>
      </c>
      <c r="I33">
        <v>582.49031106261236</v>
      </c>
      <c r="J33">
        <v>788.93544662405122</v>
      </c>
      <c r="K33">
        <v>3</v>
      </c>
      <c r="L33">
        <v>0</v>
      </c>
      <c r="M33">
        <v>1</v>
      </c>
      <c r="N33">
        <v>0</v>
      </c>
      <c r="O33">
        <v>2</v>
      </c>
      <c r="P33" s="3">
        <v>0.89205159138582868</v>
      </c>
      <c r="Q33" s="3">
        <f t="shared" si="0"/>
        <v>0.24739535113613603</v>
      </c>
      <c r="R33">
        <v>904</v>
      </c>
      <c r="S33" s="3">
        <v>2.4560661171897993E-2</v>
      </c>
    </row>
    <row r="34" spans="1:19" x14ac:dyDescent="0.35">
      <c r="A34">
        <v>3</v>
      </c>
      <c r="B34">
        <v>70</v>
      </c>
      <c r="C34">
        <v>1</v>
      </c>
      <c r="D34">
        <v>30020.983885966933</v>
      </c>
      <c r="E34">
        <v>11000</v>
      </c>
      <c r="F34">
        <v>7976.02992864728</v>
      </c>
      <c r="G34">
        <v>7939.0808914980807</v>
      </c>
      <c r="H34">
        <v>1736.4078944315581</v>
      </c>
      <c r="I34">
        <v>582.49031106261259</v>
      </c>
      <c r="J34">
        <v>786.97486032729864</v>
      </c>
      <c r="K34">
        <v>3</v>
      </c>
      <c r="L34">
        <v>1</v>
      </c>
      <c r="M34">
        <v>0</v>
      </c>
      <c r="N34">
        <v>2</v>
      </c>
      <c r="O34">
        <v>0</v>
      </c>
      <c r="P34" s="3">
        <v>0.55999996725343681</v>
      </c>
      <c r="Q34" s="3" t="str">
        <f t="shared" si="0"/>
        <v/>
      </c>
      <c r="R34">
        <v>324</v>
      </c>
      <c r="S34" s="3">
        <v>1.9690682820768926E-2</v>
      </c>
    </row>
    <row r="35" spans="1:19" x14ac:dyDescent="0.35">
      <c r="A35">
        <v>3</v>
      </c>
      <c r="B35">
        <v>70</v>
      </c>
      <c r="C35">
        <v>2</v>
      </c>
      <c r="D35">
        <v>30274.830877875291</v>
      </c>
      <c r="E35">
        <v>11000</v>
      </c>
      <c r="F35">
        <v>8087.6147053030345</v>
      </c>
      <c r="G35">
        <v>8073.3599442879986</v>
      </c>
      <c r="H35">
        <v>1737.9871113255601</v>
      </c>
      <c r="I35">
        <v>582.49031106261259</v>
      </c>
      <c r="J35">
        <v>793.37880589591953</v>
      </c>
      <c r="K35">
        <v>3</v>
      </c>
      <c r="L35">
        <v>1</v>
      </c>
      <c r="M35">
        <v>0</v>
      </c>
      <c r="N35">
        <v>2</v>
      </c>
      <c r="O35">
        <v>0</v>
      </c>
      <c r="P35" s="3">
        <v>0.56947162602513468</v>
      </c>
      <c r="Q35" s="3" t="str">
        <f t="shared" si="0"/>
        <v/>
      </c>
      <c r="R35">
        <v>902</v>
      </c>
      <c r="S35" s="3">
        <v>2.5904131188942563E-2</v>
      </c>
    </row>
    <row r="36" spans="1:19" x14ac:dyDescent="0.35">
      <c r="A36">
        <v>3</v>
      </c>
      <c r="B36">
        <v>70</v>
      </c>
      <c r="C36">
        <v>3</v>
      </c>
      <c r="D36">
        <v>45294.571970141544</v>
      </c>
      <c r="E36">
        <v>18000</v>
      </c>
      <c r="F36">
        <v>11674.02565233146</v>
      </c>
      <c r="G36">
        <v>10631.052668255128</v>
      </c>
      <c r="H36">
        <v>3589.5101366661306</v>
      </c>
      <c r="I36">
        <v>582.49031106261259</v>
      </c>
      <c r="J36">
        <v>817.49320182606459</v>
      </c>
      <c r="K36">
        <v>3</v>
      </c>
      <c r="L36">
        <v>0</v>
      </c>
      <c r="M36">
        <v>0</v>
      </c>
      <c r="N36">
        <v>1</v>
      </c>
      <c r="O36">
        <v>2</v>
      </c>
      <c r="P36" s="3">
        <v>0.74988392579144592</v>
      </c>
      <c r="Q36" s="3">
        <f t="shared" si="0"/>
        <v>0.24879409711031089</v>
      </c>
      <c r="R36">
        <v>901</v>
      </c>
      <c r="S36" s="3">
        <v>3.8371632208849607E-2</v>
      </c>
    </row>
    <row r="37" spans="1:19" x14ac:dyDescent="0.35">
      <c r="A37">
        <v>3</v>
      </c>
      <c r="B37">
        <v>100</v>
      </c>
      <c r="C37">
        <v>1</v>
      </c>
      <c r="D37">
        <v>30223.639383268277</v>
      </c>
      <c r="E37">
        <v>11000</v>
      </c>
      <c r="F37">
        <v>8032.4885524478677</v>
      </c>
      <c r="G37">
        <v>8073.0459592310599</v>
      </c>
      <c r="H37">
        <v>1743.0146010472779</v>
      </c>
      <c r="I37">
        <v>582.49031106261259</v>
      </c>
      <c r="J37">
        <v>792.59995947936363</v>
      </c>
      <c r="K37">
        <v>3</v>
      </c>
      <c r="L37">
        <v>1</v>
      </c>
      <c r="M37">
        <v>0</v>
      </c>
      <c r="N37">
        <v>2</v>
      </c>
      <c r="O37">
        <v>0</v>
      </c>
      <c r="P37" s="3">
        <v>0.31002834633778337</v>
      </c>
      <c r="Q37" s="3" t="str">
        <f t="shared" si="0"/>
        <v/>
      </c>
      <c r="R37">
        <v>901</v>
      </c>
      <c r="S37" s="3">
        <v>2.6469278258446624E-2</v>
      </c>
    </row>
    <row r="38" spans="1:19" x14ac:dyDescent="0.35">
      <c r="A38">
        <v>3</v>
      </c>
      <c r="B38">
        <v>100</v>
      </c>
      <c r="C38">
        <v>2</v>
      </c>
      <c r="D38">
        <v>30214.306174821169</v>
      </c>
      <c r="E38">
        <v>11000</v>
      </c>
      <c r="F38">
        <v>8035.6093797977801</v>
      </c>
      <c r="G38">
        <v>8077.5968185127213</v>
      </c>
      <c r="H38">
        <v>1738.7922872499662</v>
      </c>
      <c r="I38">
        <v>582.49031106261259</v>
      </c>
      <c r="J38">
        <v>779.81737819804971</v>
      </c>
      <c r="K38">
        <v>3</v>
      </c>
      <c r="L38">
        <v>1</v>
      </c>
      <c r="M38">
        <v>0</v>
      </c>
      <c r="N38">
        <v>2</v>
      </c>
      <c r="O38">
        <v>0</v>
      </c>
      <c r="P38" s="3">
        <v>0.31020311251459382</v>
      </c>
      <c r="Q38" s="3" t="str">
        <f t="shared" si="0"/>
        <v/>
      </c>
      <c r="R38">
        <v>910</v>
      </c>
      <c r="S38" s="3">
        <v>2.3648109178031767E-2</v>
      </c>
    </row>
    <row r="39" spans="1:19" x14ac:dyDescent="0.35">
      <c r="A39">
        <v>3</v>
      </c>
      <c r="B39">
        <v>100</v>
      </c>
      <c r="C39">
        <v>3</v>
      </c>
      <c r="D39">
        <v>44691.327789397379</v>
      </c>
      <c r="E39">
        <v>16500</v>
      </c>
      <c r="F39">
        <v>11638.287501690476</v>
      </c>
      <c r="G39">
        <v>11701.292923169571</v>
      </c>
      <c r="H39">
        <v>3480.9791324549678</v>
      </c>
      <c r="I39">
        <v>582.49031106261248</v>
      </c>
      <c r="J39">
        <v>788.27792101996715</v>
      </c>
      <c r="K39">
        <v>3</v>
      </c>
      <c r="L39">
        <v>0</v>
      </c>
      <c r="M39">
        <v>1</v>
      </c>
      <c r="N39">
        <v>0</v>
      </c>
      <c r="O39">
        <v>2</v>
      </c>
      <c r="P39" s="3">
        <v>0.4493635380381017</v>
      </c>
      <c r="Q39" s="3">
        <f t="shared" si="0"/>
        <v>0.26054190994227838</v>
      </c>
      <c r="R39">
        <v>900</v>
      </c>
      <c r="S39" s="3">
        <v>2.8996499412400529E-2</v>
      </c>
    </row>
    <row r="40" spans="1:19" x14ac:dyDescent="0.35">
      <c r="A40">
        <v>4</v>
      </c>
      <c r="B40">
        <v>10</v>
      </c>
      <c r="C40">
        <v>1</v>
      </c>
      <c r="D40">
        <v>31683.085878437349</v>
      </c>
      <c r="E40">
        <v>13500</v>
      </c>
      <c r="F40">
        <v>8955.601304346028</v>
      </c>
      <c r="G40">
        <v>5554.2989189119771</v>
      </c>
      <c r="H40">
        <v>2113.6186180669738</v>
      </c>
      <c r="I40">
        <v>606.80188980729213</v>
      </c>
      <c r="J40">
        <v>952.76514730511599</v>
      </c>
      <c r="K40">
        <v>4</v>
      </c>
      <c r="L40">
        <v>0</v>
      </c>
      <c r="M40">
        <v>3</v>
      </c>
      <c r="N40">
        <v>1</v>
      </c>
      <c r="O40">
        <v>0</v>
      </c>
      <c r="P40" s="3">
        <v>0.84281338965048413</v>
      </c>
      <c r="Q40" s="3" t="str">
        <f t="shared" si="0"/>
        <v/>
      </c>
      <c r="R40">
        <v>241</v>
      </c>
      <c r="S40" s="3">
        <v>1.9835418134874657E-2</v>
      </c>
    </row>
    <row r="41" spans="1:19" x14ac:dyDescent="0.35">
      <c r="A41">
        <v>4</v>
      </c>
      <c r="B41">
        <v>10</v>
      </c>
      <c r="C41">
        <v>2</v>
      </c>
      <c r="D41">
        <v>30684.968387496647</v>
      </c>
      <c r="E41">
        <v>12500</v>
      </c>
      <c r="F41">
        <v>9130.4681326844893</v>
      </c>
      <c r="G41">
        <v>5527.0188917846363</v>
      </c>
      <c r="H41">
        <v>2001.9902194101585</v>
      </c>
      <c r="I41">
        <v>606.80188980729213</v>
      </c>
      <c r="J41">
        <v>918.68925381002464</v>
      </c>
      <c r="K41">
        <v>4</v>
      </c>
      <c r="L41">
        <v>1</v>
      </c>
      <c r="M41">
        <v>2</v>
      </c>
      <c r="N41">
        <v>1</v>
      </c>
      <c r="O41">
        <v>0</v>
      </c>
      <c r="P41" s="3">
        <v>0.83867389833598804</v>
      </c>
      <c r="Q41" s="3" t="str">
        <f t="shared" si="0"/>
        <v/>
      </c>
      <c r="R41">
        <v>202</v>
      </c>
      <c r="S41" s="3">
        <v>1.9840660712885812E-2</v>
      </c>
    </row>
    <row r="42" spans="1:19" x14ac:dyDescent="0.35">
      <c r="A42">
        <v>4</v>
      </c>
      <c r="B42">
        <v>10</v>
      </c>
      <c r="C42">
        <v>3</v>
      </c>
      <c r="D42">
        <v>48447.88768373843</v>
      </c>
      <c r="E42">
        <v>21000</v>
      </c>
      <c r="F42">
        <v>15194.432223274604</v>
      </c>
      <c r="G42">
        <v>5942.8603014337477</v>
      </c>
      <c r="H42">
        <v>4639.6004654713615</v>
      </c>
      <c r="I42">
        <v>606.80188980729213</v>
      </c>
      <c r="J42">
        <v>1064.1928037509142</v>
      </c>
      <c r="K42">
        <v>5</v>
      </c>
      <c r="L42">
        <v>0</v>
      </c>
      <c r="M42">
        <v>1</v>
      </c>
      <c r="N42">
        <v>4</v>
      </c>
      <c r="O42">
        <v>0</v>
      </c>
      <c r="P42" s="3">
        <v>0.90177397867737119</v>
      </c>
      <c r="Q42" s="3">
        <f t="shared" si="0"/>
        <v>0.22319385695184163</v>
      </c>
      <c r="R42">
        <v>417</v>
      </c>
      <c r="S42" s="3">
        <v>1.9614376121383309E-2</v>
      </c>
    </row>
    <row r="43" spans="1:19" x14ac:dyDescent="0.35">
      <c r="A43">
        <v>4</v>
      </c>
      <c r="B43">
        <v>40</v>
      </c>
      <c r="C43">
        <v>1</v>
      </c>
      <c r="D43">
        <v>31498.365807958671</v>
      </c>
      <c r="E43">
        <v>13500</v>
      </c>
      <c r="F43">
        <v>7470.6740479386181</v>
      </c>
      <c r="G43">
        <v>6852.7734438372981</v>
      </c>
      <c r="H43">
        <v>2117.0015078948659</v>
      </c>
      <c r="I43">
        <v>606.80188980729224</v>
      </c>
      <c r="J43">
        <v>951.11491848074343</v>
      </c>
      <c r="K43">
        <v>4</v>
      </c>
      <c r="L43">
        <v>0</v>
      </c>
      <c r="M43">
        <v>3</v>
      </c>
      <c r="N43">
        <v>1</v>
      </c>
      <c r="O43">
        <v>0</v>
      </c>
      <c r="P43" s="3">
        <v>0.62807560251398886</v>
      </c>
      <c r="Q43" s="3" t="str">
        <f t="shared" si="0"/>
        <v/>
      </c>
      <c r="R43">
        <v>904</v>
      </c>
      <c r="S43" s="3">
        <v>4.2104488035150635E-2</v>
      </c>
    </row>
    <row r="44" spans="1:19" x14ac:dyDescent="0.35">
      <c r="A44">
        <v>4</v>
      </c>
      <c r="B44">
        <v>40</v>
      </c>
      <c r="C44">
        <v>2</v>
      </c>
      <c r="D44">
        <v>29880.167504881625</v>
      </c>
      <c r="E44">
        <v>12500</v>
      </c>
      <c r="F44">
        <v>7158.0090343804141</v>
      </c>
      <c r="G44">
        <v>6675.9505510157096</v>
      </c>
      <c r="H44">
        <v>2004.4919405692342</v>
      </c>
      <c r="I44">
        <v>606.80188980729224</v>
      </c>
      <c r="J44">
        <v>934.91408910888913</v>
      </c>
      <c r="K44">
        <v>4</v>
      </c>
      <c r="L44">
        <v>1</v>
      </c>
      <c r="M44">
        <v>2</v>
      </c>
      <c r="N44">
        <v>1</v>
      </c>
      <c r="O44">
        <v>0</v>
      </c>
      <c r="P44" s="3">
        <v>0.61186929628522246</v>
      </c>
      <c r="Q44" s="3" t="str">
        <f t="shared" si="0"/>
        <v/>
      </c>
      <c r="R44">
        <v>179</v>
      </c>
      <c r="S44" s="3">
        <v>1.9935321431395946E-2</v>
      </c>
    </row>
    <row r="45" spans="1:19" x14ac:dyDescent="0.35">
      <c r="A45">
        <v>4</v>
      </c>
      <c r="B45">
        <v>40</v>
      </c>
      <c r="C45">
        <v>3</v>
      </c>
      <c r="D45">
        <v>44809.152652712051</v>
      </c>
      <c r="E45">
        <v>18750</v>
      </c>
      <c r="F45">
        <v>11706.051778914367</v>
      </c>
      <c r="G45">
        <v>8765.7501302674573</v>
      </c>
      <c r="H45">
        <v>4052.9189733719081</v>
      </c>
      <c r="I45">
        <v>606.80188980729201</v>
      </c>
      <c r="J45">
        <v>927.62988035150738</v>
      </c>
      <c r="K45">
        <v>4</v>
      </c>
      <c r="L45">
        <v>0</v>
      </c>
      <c r="M45">
        <v>1</v>
      </c>
      <c r="N45">
        <v>2</v>
      </c>
      <c r="O45">
        <v>1</v>
      </c>
      <c r="P45" s="3">
        <v>0.80340519640350239</v>
      </c>
      <c r="Q45" s="3">
        <f t="shared" si="0"/>
        <v>0.26995400127395935</v>
      </c>
      <c r="R45">
        <v>596</v>
      </c>
      <c r="S45" s="3">
        <v>7.7311214785771151E-3</v>
      </c>
    </row>
    <row r="46" spans="1:19" x14ac:dyDescent="0.35">
      <c r="A46">
        <v>4</v>
      </c>
      <c r="B46">
        <v>70</v>
      </c>
      <c r="C46">
        <v>1</v>
      </c>
      <c r="D46">
        <v>31231.054869249961</v>
      </c>
      <c r="E46">
        <v>13500</v>
      </c>
      <c r="F46">
        <v>7007.8104396050367</v>
      </c>
      <c r="G46">
        <v>7063.2137400802485</v>
      </c>
      <c r="H46">
        <v>2104.7227782676919</v>
      </c>
      <c r="I46">
        <v>606.80188980729201</v>
      </c>
      <c r="J46">
        <v>948.50602148958671</v>
      </c>
      <c r="K46">
        <v>4</v>
      </c>
      <c r="L46">
        <v>0</v>
      </c>
      <c r="M46">
        <v>3</v>
      </c>
      <c r="N46">
        <v>1</v>
      </c>
      <c r="O46">
        <v>0</v>
      </c>
      <c r="P46" s="3">
        <v>0.48420236319661564</v>
      </c>
      <c r="Q46" s="3" t="str">
        <f t="shared" si="0"/>
        <v/>
      </c>
      <c r="R46">
        <v>902</v>
      </c>
      <c r="S46" s="3">
        <v>3.4007312433330494E-2</v>
      </c>
    </row>
    <row r="47" spans="1:19" x14ac:dyDescent="0.35">
      <c r="A47">
        <v>4</v>
      </c>
      <c r="B47">
        <v>70</v>
      </c>
      <c r="C47">
        <v>2</v>
      </c>
      <c r="D47">
        <v>30064.436789576164</v>
      </c>
      <c r="E47">
        <v>12500</v>
      </c>
      <c r="F47">
        <v>6981.9389695169903</v>
      </c>
      <c r="G47">
        <v>7033.3032823205485</v>
      </c>
      <c r="H47">
        <v>2005.3821537262286</v>
      </c>
      <c r="I47">
        <v>606.80188980729213</v>
      </c>
      <c r="J47">
        <v>937.01049420497782</v>
      </c>
      <c r="K47">
        <v>4</v>
      </c>
      <c r="L47">
        <v>1</v>
      </c>
      <c r="M47">
        <v>2</v>
      </c>
      <c r="N47">
        <v>1</v>
      </c>
      <c r="O47">
        <v>0</v>
      </c>
      <c r="P47" s="3">
        <v>0.48215192059860151</v>
      </c>
      <c r="Q47" s="3" t="str">
        <f t="shared" si="0"/>
        <v/>
      </c>
      <c r="R47">
        <v>901</v>
      </c>
      <c r="S47" s="3">
        <v>2.73568163866354E-2</v>
      </c>
    </row>
    <row r="48" spans="1:19" x14ac:dyDescent="0.35">
      <c r="A48">
        <v>4</v>
      </c>
      <c r="B48">
        <v>70</v>
      </c>
      <c r="C48">
        <v>3</v>
      </c>
      <c r="D48">
        <v>46656.091823547285</v>
      </c>
      <c r="E48">
        <v>20250</v>
      </c>
      <c r="F48">
        <v>10973.518175924753</v>
      </c>
      <c r="G48">
        <v>9707.5122072874619</v>
      </c>
      <c r="H48">
        <v>4166.6004563876213</v>
      </c>
      <c r="I48">
        <v>606.80188980729201</v>
      </c>
      <c r="J48">
        <v>951.65909414017062</v>
      </c>
      <c r="K48">
        <v>4</v>
      </c>
      <c r="L48">
        <v>0</v>
      </c>
      <c r="M48">
        <v>0</v>
      </c>
      <c r="N48">
        <v>3</v>
      </c>
      <c r="O48">
        <v>1</v>
      </c>
      <c r="P48" s="3">
        <v>0.66547615922425429</v>
      </c>
      <c r="Q48" s="3">
        <f t="shared" si="0"/>
        <v>0.23883322311471938</v>
      </c>
      <c r="R48">
        <v>901</v>
      </c>
      <c r="S48" s="3">
        <v>6.6611167899614215E-2</v>
      </c>
    </row>
    <row r="49" spans="1:19" x14ac:dyDescent="0.35">
      <c r="A49">
        <v>4</v>
      </c>
      <c r="B49">
        <v>100</v>
      </c>
      <c r="C49">
        <v>1</v>
      </c>
      <c r="D49">
        <v>31299.975651564047</v>
      </c>
      <c r="E49">
        <v>9750</v>
      </c>
      <c r="F49">
        <v>9417.7362497062568</v>
      </c>
      <c r="G49">
        <v>9444.5200037473605</v>
      </c>
      <c r="H49">
        <v>1438.649233818915</v>
      </c>
      <c r="I49">
        <v>606.80188980729213</v>
      </c>
      <c r="J49">
        <v>642.26827448421341</v>
      </c>
      <c r="K49">
        <v>2</v>
      </c>
      <c r="L49">
        <v>0</v>
      </c>
      <c r="M49">
        <v>1</v>
      </c>
      <c r="N49">
        <v>0</v>
      </c>
      <c r="O49">
        <v>1</v>
      </c>
      <c r="P49" s="3">
        <v>0.3575846941873817</v>
      </c>
      <c r="Q49" s="3" t="str">
        <f t="shared" si="0"/>
        <v/>
      </c>
      <c r="R49">
        <v>902</v>
      </c>
      <c r="S49" s="3">
        <v>3.6720696701511048E-2</v>
      </c>
    </row>
    <row r="50" spans="1:19" x14ac:dyDescent="0.35">
      <c r="A50">
        <v>4</v>
      </c>
      <c r="B50">
        <v>100</v>
      </c>
      <c r="C50">
        <v>2</v>
      </c>
      <c r="D50">
        <v>30118.647770548523</v>
      </c>
      <c r="E50">
        <v>11000</v>
      </c>
      <c r="F50">
        <v>7976.726315685748</v>
      </c>
      <c r="G50">
        <v>8020.4794097482463</v>
      </c>
      <c r="H50">
        <v>1712.7374868347533</v>
      </c>
      <c r="I50">
        <v>606.80188980729213</v>
      </c>
      <c r="J50">
        <v>801.90266847252485</v>
      </c>
      <c r="K50">
        <v>3</v>
      </c>
      <c r="L50">
        <v>1</v>
      </c>
      <c r="M50">
        <v>0</v>
      </c>
      <c r="N50">
        <v>2</v>
      </c>
      <c r="O50">
        <v>0</v>
      </c>
      <c r="P50" s="3">
        <v>0.30366823044824554</v>
      </c>
      <c r="Q50" s="3" t="str">
        <f t="shared" si="0"/>
        <v/>
      </c>
      <c r="R50">
        <v>901</v>
      </c>
      <c r="S50" s="3">
        <v>3.1458996379926427E-2</v>
      </c>
    </row>
    <row r="51" spans="1:19" x14ac:dyDescent="0.35">
      <c r="A51">
        <v>4</v>
      </c>
      <c r="B51">
        <v>100</v>
      </c>
      <c r="C51">
        <v>3</v>
      </c>
      <c r="D51">
        <v>44338.555250729813</v>
      </c>
      <c r="E51">
        <v>18750</v>
      </c>
      <c r="F51">
        <v>9960.8491385463858</v>
      </c>
      <c r="G51">
        <v>10040.355829345826</v>
      </c>
      <c r="H51">
        <v>4052.9187547430834</v>
      </c>
      <c r="I51">
        <v>606.80188980729224</v>
      </c>
      <c r="J51">
        <v>927.62963828682598</v>
      </c>
      <c r="K51">
        <v>4</v>
      </c>
      <c r="L51">
        <v>0</v>
      </c>
      <c r="M51">
        <v>1</v>
      </c>
      <c r="N51">
        <v>2</v>
      </c>
      <c r="O51">
        <v>1</v>
      </c>
      <c r="P51" s="3">
        <v>0.38014399539040478</v>
      </c>
      <c r="Q51" s="3">
        <f t="shared" si="0"/>
        <v>0.2780926569128121</v>
      </c>
      <c r="R51">
        <v>538</v>
      </c>
      <c r="S51" s="3">
        <v>1.43258888904339E-2</v>
      </c>
    </row>
    <row r="52" spans="1:19" x14ac:dyDescent="0.35">
      <c r="A52">
        <v>5</v>
      </c>
      <c r="B52">
        <v>10</v>
      </c>
      <c r="C52">
        <v>1</v>
      </c>
      <c r="D52">
        <v>32531.833000747418</v>
      </c>
      <c r="E52">
        <v>13500</v>
      </c>
      <c r="F52">
        <v>9466.7804060173567</v>
      </c>
      <c r="G52">
        <v>5863.0532653163418</v>
      </c>
      <c r="H52">
        <v>2113.4134651209838</v>
      </c>
      <c r="I52">
        <v>613.87430120531906</v>
      </c>
      <c r="J52">
        <v>974.71156308737488</v>
      </c>
      <c r="K52">
        <v>4</v>
      </c>
      <c r="L52">
        <v>0</v>
      </c>
      <c r="M52">
        <v>3</v>
      </c>
      <c r="N52">
        <v>1</v>
      </c>
      <c r="O52">
        <v>0</v>
      </c>
      <c r="P52" s="3">
        <v>0.84540248649278271</v>
      </c>
      <c r="Q52" s="3" t="str">
        <f t="shared" si="0"/>
        <v/>
      </c>
      <c r="R52">
        <v>906</v>
      </c>
      <c r="S52" s="3">
        <v>2.8689512030755749E-2</v>
      </c>
    </row>
    <row r="53" spans="1:19" x14ac:dyDescent="0.35">
      <c r="A53">
        <v>5</v>
      </c>
      <c r="B53">
        <v>10</v>
      </c>
      <c r="C53">
        <v>2</v>
      </c>
      <c r="D53">
        <v>31969.274425229141</v>
      </c>
      <c r="E53">
        <v>12500</v>
      </c>
      <c r="F53">
        <v>9945.4676076658761</v>
      </c>
      <c r="G53">
        <v>5913.2897303279806</v>
      </c>
      <c r="H53">
        <v>2046.5216295235159</v>
      </c>
      <c r="I53">
        <v>613.87430120531894</v>
      </c>
      <c r="J53">
        <v>950.12115650661201</v>
      </c>
      <c r="K53">
        <v>4</v>
      </c>
      <c r="L53">
        <v>1</v>
      </c>
      <c r="M53">
        <v>2</v>
      </c>
      <c r="N53">
        <v>1</v>
      </c>
      <c r="O53">
        <v>0</v>
      </c>
      <c r="P53" s="3">
        <v>0.85264615809383804</v>
      </c>
      <c r="Q53" s="3" t="str">
        <f t="shared" si="0"/>
        <v/>
      </c>
      <c r="R53">
        <v>167</v>
      </c>
      <c r="S53" s="3">
        <v>1.9025799929857572E-2</v>
      </c>
    </row>
    <row r="54" spans="1:19" x14ac:dyDescent="0.35">
      <c r="A54">
        <v>5</v>
      </c>
      <c r="B54">
        <v>10</v>
      </c>
      <c r="C54">
        <v>3</v>
      </c>
      <c r="D54">
        <v>49901.193547911309</v>
      </c>
      <c r="E54">
        <v>18750</v>
      </c>
      <c r="F54">
        <v>19038.251218092875</v>
      </c>
      <c r="G54">
        <v>6448.3560775114238</v>
      </c>
      <c r="H54">
        <v>4107.2018342956335</v>
      </c>
      <c r="I54">
        <v>613.87430120531894</v>
      </c>
      <c r="J54">
        <v>943.51011680585702</v>
      </c>
      <c r="K54">
        <v>4</v>
      </c>
      <c r="L54">
        <v>0</v>
      </c>
      <c r="M54">
        <v>1</v>
      </c>
      <c r="N54">
        <v>2</v>
      </c>
      <c r="O54">
        <v>1</v>
      </c>
      <c r="P54" s="3">
        <v>0.92979818108899137</v>
      </c>
      <c r="Q54" s="3">
        <f t="shared" si="0"/>
        <v>0.22635136760745631</v>
      </c>
      <c r="R54">
        <v>544</v>
      </c>
      <c r="S54" s="3">
        <v>1.8569517296304346E-2</v>
      </c>
    </row>
    <row r="55" spans="1:19" x14ac:dyDescent="0.35">
      <c r="A55">
        <v>5</v>
      </c>
      <c r="B55">
        <v>40</v>
      </c>
      <c r="C55">
        <v>1</v>
      </c>
      <c r="D55">
        <v>31342.969460546621</v>
      </c>
      <c r="E55">
        <v>9750</v>
      </c>
      <c r="F55">
        <v>10387.229133748262</v>
      </c>
      <c r="G55">
        <v>8489.1214799486279</v>
      </c>
      <c r="H55">
        <v>1437.7187300339294</v>
      </c>
      <c r="I55">
        <v>613.87430120531894</v>
      </c>
      <c r="J55">
        <v>665.02581561056149</v>
      </c>
      <c r="K55">
        <v>2</v>
      </c>
      <c r="L55">
        <v>0</v>
      </c>
      <c r="M55">
        <v>1</v>
      </c>
      <c r="N55">
        <v>0</v>
      </c>
      <c r="O55">
        <v>1</v>
      </c>
      <c r="P55" s="3">
        <v>0.77548821968397708</v>
      </c>
      <c r="Q55" s="3" t="str">
        <f t="shared" si="0"/>
        <v/>
      </c>
      <c r="R55">
        <v>902</v>
      </c>
      <c r="S55" s="3">
        <v>2.8450790849121492E-2</v>
      </c>
    </row>
    <row r="56" spans="1:19" x14ac:dyDescent="0.35">
      <c r="A56">
        <v>5</v>
      </c>
      <c r="B56">
        <v>40</v>
      </c>
      <c r="C56">
        <v>2</v>
      </c>
      <c r="D56">
        <v>31029.143191361629</v>
      </c>
      <c r="E56">
        <v>8750</v>
      </c>
      <c r="F56">
        <v>11027.01703367265</v>
      </c>
      <c r="G56">
        <v>8679.306468220886</v>
      </c>
      <c r="H56">
        <v>1342.3710436781464</v>
      </c>
      <c r="I56">
        <v>613.87430120531906</v>
      </c>
      <c r="J56">
        <v>616.57434458452303</v>
      </c>
      <c r="K56">
        <v>2</v>
      </c>
      <c r="L56">
        <v>1</v>
      </c>
      <c r="M56">
        <v>0</v>
      </c>
      <c r="N56">
        <v>0</v>
      </c>
      <c r="O56">
        <v>1</v>
      </c>
      <c r="P56" s="3">
        <v>0.79286177456998441</v>
      </c>
      <c r="Q56" s="3" t="str">
        <f t="shared" si="0"/>
        <v/>
      </c>
      <c r="R56">
        <v>220</v>
      </c>
      <c r="S56" s="3">
        <v>1.9741311003928657E-2</v>
      </c>
    </row>
    <row r="57" spans="1:19" x14ac:dyDescent="0.35">
      <c r="A57">
        <v>5</v>
      </c>
      <c r="B57">
        <v>40</v>
      </c>
      <c r="C57">
        <v>3</v>
      </c>
      <c r="D57">
        <v>46175.351950013086</v>
      </c>
      <c r="E57">
        <v>18750</v>
      </c>
      <c r="F57">
        <v>12732.234533314626</v>
      </c>
      <c r="G57">
        <v>9020.2586728285387</v>
      </c>
      <c r="H57">
        <v>4110.5893399271818</v>
      </c>
      <c r="I57">
        <v>613.87430120531917</v>
      </c>
      <c r="J57">
        <v>948.39510273775454</v>
      </c>
      <c r="K57">
        <v>4</v>
      </c>
      <c r="L57">
        <v>0</v>
      </c>
      <c r="M57">
        <v>1</v>
      </c>
      <c r="N57">
        <v>2</v>
      </c>
      <c r="O57">
        <v>1</v>
      </c>
      <c r="P57" s="3">
        <v>0.82400803850000837</v>
      </c>
      <c r="Q57" s="3">
        <f t="shared" si="0"/>
        <v>0.25967952684699752</v>
      </c>
      <c r="R57">
        <v>670</v>
      </c>
      <c r="S57" s="3">
        <v>7.9577374229335713E-3</v>
      </c>
    </row>
    <row r="58" spans="1:19" x14ac:dyDescent="0.35">
      <c r="A58">
        <v>5</v>
      </c>
      <c r="B58">
        <v>70</v>
      </c>
      <c r="C58">
        <v>1</v>
      </c>
      <c r="D58">
        <v>31013.714339521914</v>
      </c>
      <c r="E58">
        <v>9750</v>
      </c>
      <c r="F58">
        <v>9360.0962204429015</v>
      </c>
      <c r="G58">
        <v>9187.0049135054578</v>
      </c>
      <c r="H58">
        <v>1437.7168401743897</v>
      </c>
      <c r="I58">
        <v>613.87430120531883</v>
      </c>
      <c r="J58">
        <v>665.02206419387801</v>
      </c>
      <c r="K58">
        <v>2</v>
      </c>
      <c r="L58">
        <v>0</v>
      </c>
      <c r="M58">
        <v>1</v>
      </c>
      <c r="N58">
        <v>0</v>
      </c>
      <c r="O58">
        <v>1</v>
      </c>
      <c r="P58" s="3">
        <v>0.6260141154602078</v>
      </c>
      <c r="Q58" s="3" t="str">
        <f t="shared" si="0"/>
        <v/>
      </c>
      <c r="R58">
        <v>172</v>
      </c>
      <c r="S58" s="3">
        <v>1.9507397945586182E-2</v>
      </c>
    </row>
    <row r="59" spans="1:19" x14ac:dyDescent="0.35">
      <c r="A59">
        <v>5</v>
      </c>
      <c r="B59">
        <v>70</v>
      </c>
      <c r="C59">
        <v>2</v>
      </c>
      <c r="D59">
        <v>30734.324851703859</v>
      </c>
      <c r="E59">
        <v>8750</v>
      </c>
      <c r="F59">
        <v>9870.7614012443009</v>
      </c>
      <c r="G59">
        <v>9541.0678088454333</v>
      </c>
      <c r="H59">
        <v>1343.0687490699936</v>
      </c>
      <c r="I59">
        <v>613.87430120531894</v>
      </c>
      <c r="J59">
        <v>615.55259133878633</v>
      </c>
      <c r="K59">
        <v>2</v>
      </c>
      <c r="L59">
        <v>1</v>
      </c>
      <c r="M59">
        <v>0</v>
      </c>
      <c r="N59">
        <v>0</v>
      </c>
      <c r="O59">
        <v>1</v>
      </c>
      <c r="P59" s="3">
        <v>0.65014040823247987</v>
      </c>
      <c r="Q59" s="3" t="str">
        <f t="shared" si="0"/>
        <v/>
      </c>
      <c r="R59">
        <v>188</v>
      </c>
      <c r="S59" s="3">
        <v>1.4882320459773937E-2</v>
      </c>
    </row>
    <row r="60" spans="1:19" x14ac:dyDescent="0.35">
      <c r="A60">
        <v>5</v>
      </c>
      <c r="B60">
        <v>70</v>
      </c>
      <c r="C60">
        <v>3</v>
      </c>
      <c r="D60">
        <v>45732.91094151885</v>
      </c>
      <c r="E60">
        <v>16500</v>
      </c>
      <c r="F60">
        <v>12839.014649579849</v>
      </c>
      <c r="G60">
        <v>11440.329468491962</v>
      </c>
      <c r="H60">
        <v>3526.0250610339058</v>
      </c>
      <c r="I60">
        <v>613.87430120531894</v>
      </c>
      <c r="J60">
        <v>813.66746120759854</v>
      </c>
      <c r="K60">
        <v>3</v>
      </c>
      <c r="L60">
        <v>0</v>
      </c>
      <c r="M60">
        <v>1</v>
      </c>
      <c r="N60">
        <v>0</v>
      </c>
      <c r="O60">
        <v>2</v>
      </c>
      <c r="P60" s="3">
        <v>0.77955849596456073</v>
      </c>
      <c r="Q60" s="3">
        <f t="shared" si="0"/>
        <v>0.25936253943400733</v>
      </c>
      <c r="R60">
        <v>330</v>
      </c>
      <c r="S60" s="3">
        <v>1.7052275238422742E-2</v>
      </c>
    </row>
    <row r="61" spans="1:19" x14ac:dyDescent="0.35">
      <c r="A61">
        <v>5</v>
      </c>
      <c r="B61">
        <v>100</v>
      </c>
      <c r="C61">
        <v>1</v>
      </c>
      <c r="D61">
        <v>31000.298844033859</v>
      </c>
      <c r="E61">
        <v>9750</v>
      </c>
      <c r="F61">
        <v>9252.1646150787328</v>
      </c>
      <c r="G61">
        <v>9281.5178871306543</v>
      </c>
      <c r="H61">
        <v>1437.7180763222671</v>
      </c>
      <c r="I61">
        <v>613.87430120531883</v>
      </c>
      <c r="J61">
        <v>665.02396429671785</v>
      </c>
      <c r="K61">
        <v>2</v>
      </c>
      <c r="L61">
        <v>0</v>
      </c>
      <c r="M61">
        <v>1</v>
      </c>
      <c r="N61">
        <v>0</v>
      </c>
      <c r="O61">
        <v>1</v>
      </c>
      <c r="P61" s="3">
        <v>0.37445523707335587</v>
      </c>
      <c r="Q61" s="3" t="str">
        <f t="shared" si="0"/>
        <v/>
      </c>
      <c r="R61">
        <v>339</v>
      </c>
      <c r="S61" s="3">
        <v>1.9459196179037162E-2</v>
      </c>
    </row>
    <row r="62" spans="1:19" x14ac:dyDescent="0.35">
      <c r="A62">
        <v>5</v>
      </c>
      <c r="B62">
        <v>100</v>
      </c>
      <c r="C62">
        <v>2</v>
      </c>
      <c r="D62">
        <v>30660.503100416867</v>
      </c>
      <c r="E62">
        <v>8750</v>
      </c>
      <c r="F62">
        <v>9657.5854504652671</v>
      </c>
      <c r="G62">
        <v>9688.9781155669698</v>
      </c>
      <c r="H62">
        <v>1335.6912587795616</v>
      </c>
      <c r="I62">
        <v>613.87430120531894</v>
      </c>
      <c r="J62">
        <v>614.37397439968709</v>
      </c>
      <c r="K62">
        <v>2</v>
      </c>
      <c r="L62">
        <v>1</v>
      </c>
      <c r="M62">
        <v>0</v>
      </c>
      <c r="N62">
        <v>0</v>
      </c>
      <c r="O62">
        <v>1</v>
      </c>
      <c r="P62" s="3">
        <v>0.39089388625687344</v>
      </c>
      <c r="Q62" s="3" t="str">
        <f t="shared" si="0"/>
        <v/>
      </c>
      <c r="R62">
        <v>197</v>
      </c>
      <c r="S62" s="3">
        <v>1.498909490861213E-2</v>
      </c>
    </row>
    <row r="63" spans="1:19" x14ac:dyDescent="0.35">
      <c r="A63">
        <v>5</v>
      </c>
      <c r="B63">
        <v>100</v>
      </c>
      <c r="C63">
        <v>3</v>
      </c>
      <c r="D63">
        <v>45198.649341030359</v>
      </c>
      <c r="E63">
        <v>16500</v>
      </c>
      <c r="F63">
        <v>11843.390238150938</v>
      </c>
      <c r="G63">
        <v>11901.779567520114</v>
      </c>
      <c r="H63">
        <v>3522.2975777620277</v>
      </c>
      <c r="I63">
        <v>613.87430120531894</v>
      </c>
      <c r="J63">
        <v>817.30765639229162</v>
      </c>
      <c r="K63">
        <v>3</v>
      </c>
      <c r="L63">
        <v>0</v>
      </c>
      <c r="M63">
        <v>1</v>
      </c>
      <c r="N63">
        <v>0</v>
      </c>
      <c r="O63">
        <v>2</v>
      </c>
      <c r="P63" s="3">
        <v>0.48016754842761328</v>
      </c>
      <c r="Q63" s="3">
        <f t="shared" si="0"/>
        <v>0.26697921668697833</v>
      </c>
      <c r="R63">
        <v>406</v>
      </c>
      <c r="S63" s="3">
        <v>8.652673165216368E-3</v>
      </c>
    </row>
    <row r="64" spans="1:19" ht="16" x14ac:dyDescent="0.4">
      <c r="E64" s="4" t="s">
        <v>19</v>
      </c>
      <c r="F64" s="4" t="s">
        <v>20</v>
      </c>
      <c r="G64" s="4" t="s">
        <v>21</v>
      </c>
      <c r="H64" s="4" t="s">
        <v>22</v>
      </c>
      <c r="I64" s="4" t="s">
        <v>23</v>
      </c>
      <c r="J64" s="4" t="s">
        <v>24</v>
      </c>
      <c r="K64" s="4" t="s">
        <v>25</v>
      </c>
      <c r="M64" s="5" t="str">
        <f>IF($D64=3,(SUMIFS($E:$E,$A:$A,$A64,$B:$B,$B64,$C:$C,$C64,$D:$D,1)+SUMIFS($E:$E,$A:$A,$A64,$B:$B,$B64,$C:$C,$C64,$D:$D,2)-$E64)/(SUMIFS($E:$E,$A:$A,$A64,$B:$B,$B64,$C:$C,$C64,$D:$D,1)+SUMIFS($E:$E,$A:$A,$A64,$B:$B,$B64,$C:$C,$C64,$D:$D,2)),"")</f>
        <v/>
      </c>
    </row>
    <row r="65" spans="4:19" x14ac:dyDescent="0.35">
      <c r="D65" t="s">
        <v>26</v>
      </c>
      <c r="E65">
        <f>SUMIF(Tableau17[[#All],[Scenario]],1,Tableau17[[#All],[Total Cost]])+SUMIF(Tableau17[[#All],[Scenario]],2,Tableau17[[#All],[Total Cost]])</f>
        <v>1232859.8887977959</v>
      </c>
      <c r="F65">
        <f>SUMIF(Tableau17[[#All],[Scenario]],1,Tableau17[[#All],[Opening Cost]])+SUMIF(Tableau17[[#All],[Scenario]],2,Tableau17[[#All],[Opening Cost]])</f>
        <v>458250.00206970429</v>
      </c>
      <c r="G65">
        <f>SUMIF(Tableau17[[#All],[Scenario]],1,Tableau17[[#All],[Transportation Cost]])+SUMIF(Tableau17[[#All],[Scenario]],2,Tableau17[[#All],[Transportation Cost]])</f>
        <v>347879.58675582014</v>
      </c>
      <c r="H65">
        <f>SUMIF(Tableau17[[#All],[Scenario]],1,Tableau17[[#All],[Retailer Stock Cost]])+SUMIF(Tableau17[[#All],[Scenario]],2,Tableau17[[#All],[Retailer Stock Cost]])</f>
        <v>299897.26761661016</v>
      </c>
      <c r="I65">
        <f>SUMIF(Tableau17[[#All],[Scenario]],1,Tableau17[[#All],[DC Stock Cost]])+SUMIF(Tableau17[[#All],[Scenario]],2,Tableau17[[#All],[DC Stock Cost]])</f>
        <v>72033.972106293862</v>
      </c>
      <c r="J65">
        <f>SUMIF(Tableau17[[#All],[Scenario]],1,Tableau17[[#All],[Retailer Safety Stock Cost]])+SUMIF(Tableau17[[#All],[Scenario]],2,Tableau17[[#All],[Retailer Safety Stock Cost]])</f>
        <v>23237.156516094205</v>
      </c>
      <c r="K65">
        <f>SUMIF(Tableau17[[#All],[Scenario]],1,Tableau17[[#All],[DC Safety Stock Cost]])+SUMIF(Tableau17[[#All],[Scenario]],2,Tableau17[[#All],[DC Safety Stock Cost]])</f>
        <v>31561.903733272389</v>
      </c>
      <c r="Q65" s="6">
        <f>AVERAGE(Tableau17[[#All],[Synergie]])</f>
        <v>0.2450056378405662</v>
      </c>
      <c r="R65" s="17">
        <f>AVERAGE(Tableau17[[#All],[Tps RUN ]])</f>
        <v>582.86666666666667</v>
      </c>
      <c r="S65" s="16">
        <f>AVERAGE(Tableau17[[#All],[GAP]])</f>
        <v>2.2621405317025771E-2</v>
      </c>
    </row>
    <row r="66" spans="4:19" x14ac:dyDescent="0.35">
      <c r="D66" t="s">
        <v>27</v>
      </c>
      <c r="E66">
        <f>SUMIF(Tableau17[[#All],[Scenario]],3,Tableau17[[#All],[Total Cost]])</f>
        <v>931120.59026801214</v>
      </c>
      <c r="F66">
        <f>SUMIF(Tableau17[[#All],[Scenario]],3,Tableau17[[#All],[Opening Cost]])</f>
        <v>362500</v>
      </c>
      <c r="G66">
        <f>SUMIF(Tableau17[[#All],[Scenario]],3,Tableau17[[#All],[Transportation Cost]])</f>
        <v>273850.70480045426</v>
      </c>
      <c r="H66">
        <f>SUMIF(Tableau17[[#All],[Scenario]],3,Tableau17[[#All],[Retailer Stock Cost]])</f>
        <v>189443.71139260192</v>
      </c>
      <c r="I66">
        <f>SUMIF(Tableau17[[#All],[Scenario]],3,Tableau17[[#All],[DC Stock Cost]])</f>
        <v>76841.430425822415</v>
      </c>
      <c r="J66">
        <f>SUMIF(Tableau17[[#All],[Scenario]],3,Tableau17[[#All],[Retailer Safety Stock Cost]])</f>
        <v>11618.578257966627</v>
      </c>
      <c r="K66">
        <f>SUMIF(Tableau17[[#All],[Scenario]],3,Tableau17[[#All],[DC Safety Stock Cost]])</f>
        <v>16866.165391166531</v>
      </c>
      <c r="M66" s="5" t="str">
        <f>IF($D66=3,(SUMIFS($E:$E,$A:$A,$A66,$B:$B,$B66,$C:$C,$C66,$D:$D,1)+SUMIFS($E:$E,$A:$A,$A66,$B:$B,$B66,$C:$C,$C66,$D:$D,2)-$E66)/(SUMIFS($E:$E,$A:$A,$A66,$B:$B,$B66,$C:$C,$C66,$D:$D,1)+SUMIFS($E:$E,$A:$A,$A66,$B:$B,$B66,$C:$C,$C66,$D:$D,2)),"")</f>
        <v/>
      </c>
    </row>
    <row r="67" spans="4:19" x14ac:dyDescent="0.35">
      <c r="D67" t="s">
        <v>43</v>
      </c>
      <c r="E67" s="16">
        <f>(E66-E65)/E65</f>
        <v>-0.24474743745943434</v>
      </c>
      <c r="F67" s="3">
        <f t="shared" ref="F67:K67" si="1">(F66-F65)/F65</f>
        <v>-0.20894708486032867</v>
      </c>
      <c r="G67" s="3">
        <f t="shared" si="1"/>
        <v>-0.21280030439764616</v>
      </c>
      <c r="H67" s="3">
        <f t="shared" si="1"/>
        <v>-0.36830464345948127</v>
      </c>
      <c r="I67" s="3">
        <f t="shared" si="1"/>
        <v>6.6738764765528008E-2</v>
      </c>
      <c r="J67" s="3">
        <f t="shared" si="1"/>
        <v>-0.50000000000346323</v>
      </c>
      <c r="K67" s="3">
        <f t="shared" si="1"/>
        <v>-0.46561634767974058</v>
      </c>
      <c r="M67" s="5" t="str">
        <f>IF($D67=3,(SUMIFS($E:$E,$A:$A,$A67,$B:$B,$B67,$C:$C,$C67,$D:$D,1)+SUMIFS($E:$E,$A:$A,$A67,$B:$B,$B67,$C:$C,$C67,$D:$D,2)-$E67)/(SUMIFS($E:$E,$A:$A,$A67,$B:$B,$B67,$C:$C,$C67,$D:$D,1)+SUMIFS($E:$E,$A:$A,$A67,$B:$B,$B67,$C:$C,$C67,$D:$D,2)),"")</f>
        <v/>
      </c>
    </row>
    <row r="68" spans="4:19" x14ac:dyDescent="0.35">
      <c r="E68" t="s">
        <v>26</v>
      </c>
      <c r="F68" s="7">
        <f>F65/$E$65</f>
        <v>0.3716967404273</v>
      </c>
      <c r="G68" s="7">
        <f t="shared" ref="G68:K68" si="2">G65/$E$65</f>
        <v>0.28217284860735431</v>
      </c>
      <c r="H68" s="7">
        <f t="shared" si="2"/>
        <v>0.2432533253304642</v>
      </c>
      <c r="I68" s="7">
        <f t="shared" si="2"/>
        <v>5.8428352451742646E-2</v>
      </c>
      <c r="J68" s="7">
        <f t="shared" si="2"/>
        <v>1.8848173038343841E-2</v>
      </c>
      <c r="K68" s="7">
        <f t="shared" si="2"/>
        <v>2.5600560144794303E-2</v>
      </c>
      <c r="M68" s="5" t="str">
        <f>IF($D68=3,(SUMIFS($E:$E,$A:$A,$A68,$B:$B,$B68,$C:$C,$C68,$D:$D,1)+SUMIFS($E:$E,$A:$A,$A68,$B:$B,$B68,$C:$C,$C68,$D:$D,2)-$E68)/(SUMIFS($E:$E,$A:$A,$A68,$B:$B,$B68,$C:$C,$C68,$D:$D,1)+SUMIFS($E:$E,$A:$A,$A68,$B:$B,$B68,$C:$C,$C68,$D:$D,2)),"")</f>
        <v/>
      </c>
    </row>
    <row r="69" spans="4:19" x14ac:dyDescent="0.35">
      <c r="E69" t="s">
        <v>27</v>
      </c>
      <c r="F69" s="7">
        <f>F66/$E$66</f>
        <v>0.38931584564751021</v>
      </c>
      <c r="G69" s="7">
        <f t="shared" ref="G69:K69" si="3">G66/$E$66</f>
        <v>0.29410874129808423</v>
      </c>
      <c r="H69" s="7">
        <f t="shared" si="3"/>
        <v>0.20345776194045154</v>
      </c>
      <c r="I69" s="7">
        <f t="shared" si="3"/>
        <v>8.2525755771016202E-2</v>
      </c>
      <c r="J69" s="7">
        <f t="shared" si="3"/>
        <v>1.2478059640612561E-2</v>
      </c>
      <c r="K69" s="7">
        <f t="shared" si="3"/>
        <v>1.8113835702324877E-2</v>
      </c>
      <c r="M69" s="5" t="str">
        <f>IF($D69=3,(SUMIFS($E:$E,$A:$A,$A69,$B:$B,$B69,$C:$C,$C69,$D:$D,1)+SUMIFS($E:$E,$A:$A,$A69,$B:$B,$B69,$C:$C,$C69,$D:$D,2)-$E69)/(SUMIFS($E:$E,$A:$A,$A69,$B:$B,$B69,$C:$C,$C69,$D:$D,1)+SUMIFS($E:$E,$A:$A,$A69,$B:$B,$B69,$C:$C,$C69,$D:$D,2)),"")</f>
        <v/>
      </c>
    </row>
    <row r="72" spans="4:19" x14ac:dyDescent="0.35">
      <c r="H72" t="s">
        <v>28</v>
      </c>
      <c r="I72" t="s">
        <v>29</v>
      </c>
    </row>
    <row r="73" spans="4:19" ht="16" x14ac:dyDescent="0.4">
      <c r="H73" s="4" t="s">
        <v>31</v>
      </c>
      <c r="I73" s="7">
        <f>F68</f>
        <v>0.3716967404273</v>
      </c>
      <c r="J73" s="7"/>
    </row>
    <row r="74" spans="4:19" ht="16" x14ac:dyDescent="0.4">
      <c r="H74" s="4" t="s">
        <v>34</v>
      </c>
      <c r="I74" s="7">
        <f>G68</f>
        <v>0.28217284860735431</v>
      </c>
      <c r="J74" s="7"/>
    </row>
    <row r="75" spans="4:19" ht="16" x14ac:dyDescent="0.4">
      <c r="H75" s="4" t="s">
        <v>44</v>
      </c>
      <c r="I75" s="7">
        <f>H68</f>
        <v>0.2432533253304642</v>
      </c>
      <c r="J75" s="7"/>
    </row>
    <row r="76" spans="4:19" ht="16" x14ac:dyDescent="0.4">
      <c r="H76" s="4" t="s">
        <v>45</v>
      </c>
      <c r="I76" s="7">
        <f>I68</f>
        <v>5.8428352451742646E-2</v>
      </c>
      <c r="J76" s="7"/>
    </row>
    <row r="77" spans="4:19" ht="16" x14ac:dyDescent="0.4">
      <c r="H77" s="4" t="s">
        <v>32</v>
      </c>
      <c r="I77" s="7">
        <f>J68</f>
        <v>1.8848173038343841E-2</v>
      </c>
      <c r="J77" s="7"/>
    </row>
    <row r="78" spans="4:19" ht="16" x14ac:dyDescent="0.4">
      <c r="H78" s="4" t="s">
        <v>33</v>
      </c>
      <c r="I78" s="7">
        <f>K68</f>
        <v>2.5600560144794303E-2</v>
      </c>
      <c r="J78" s="7"/>
    </row>
    <row r="80" spans="4:19" x14ac:dyDescent="0.35">
      <c r="H80" t="s">
        <v>28</v>
      </c>
      <c r="J80" t="s">
        <v>30</v>
      </c>
    </row>
    <row r="81" spans="8:11" ht="16" x14ac:dyDescent="0.4">
      <c r="H81" s="4" t="s">
        <v>102</v>
      </c>
      <c r="I81" s="7"/>
      <c r="J81" s="7">
        <f>F69</f>
        <v>0.38931584564751021</v>
      </c>
      <c r="K81" s="47"/>
    </row>
    <row r="82" spans="8:11" ht="16" x14ac:dyDescent="0.4">
      <c r="H82" s="4" t="s">
        <v>103</v>
      </c>
      <c r="I82" s="7"/>
      <c r="J82" s="7">
        <f>G69</f>
        <v>0.29410874129808423</v>
      </c>
      <c r="K82" s="47"/>
    </row>
    <row r="83" spans="8:11" ht="16" x14ac:dyDescent="0.4">
      <c r="H83" s="4" t="s">
        <v>104</v>
      </c>
      <c r="I83" s="7"/>
      <c r="J83" s="7">
        <f>H69</f>
        <v>0.20345776194045154</v>
      </c>
      <c r="K83" s="47"/>
    </row>
    <row r="84" spans="8:11" ht="16" x14ac:dyDescent="0.4">
      <c r="H84" s="4" t="s">
        <v>105</v>
      </c>
      <c r="I84" s="7"/>
      <c r="J84" s="7">
        <f>I69</f>
        <v>8.2525755771016202E-2</v>
      </c>
      <c r="K84" s="47"/>
    </row>
    <row r="85" spans="8:11" ht="16" x14ac:dyDescent="0.4">
      <c r="H85" s="4" t="s">
        <v>35</v>
      </c>
      <c r="I85" s="7"/>
      <c r="J85" s="7">
        <f>J69</f>
        <v>1.2478059640612561E-2</v>
      </c>
      <c r="K85" s="47"/>
    </row>
    <row r="86" spans="8:11" ht="16" x14ac:dyDescent="0.4">
      <c r="H86" s="4" t="s">
        <v>106</v>
      </c>
      <c r="I86" s="7"/>
      <c r="J86" s="7">
        <f>K69</f>
        <v>1.8113835702324877E-2</v>
      </c>
      <c r="K86" s="47"/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868F-D0E8-417B-B2E7-C62FFC28CE47}">
  <sheetPr>
    <tabColor rgb="FFFF0000"/>
  </sheetPr>
  <dimension ref="A1:O80"/>
  <sheetViews>
    <sheetView tabSelected="1" workbookViewId="0">
      <selection activeCell="G5" sqref="G5"/>
    </sheetView>
  </sheetViews>
  <sheetFormatPr baseColWidth="10" defaultRowHeight="14.5" x14ac:dyDescent="0.35"/>
  <sheetData>
    <row r="1" spans="1:11" x14ac:dyDescent="0.35">
      <c r="A1" t="s">
        <v>68</v>
      </c>
      <c r="F1" t="s">
        <v>69</v>
      </c>
    </row>
    <row r="2" spans="1:11" x14ac:dyDescent="0.35">
      <c r="A2" t="s">
        <v>66</v>
      </c>
      <c r="F2" t="s">
        <v>67</v>
      </c>
    </row>
    <row r="3" spans="1:11" ht="29" x14ac:dyDescent="0.35">
      <c r="A3" s="10" t="s">
        <v>54</v>
      </c>
      <c r="B3" s="10" t="s">
        <v>48</v>
      </c>
      <c r="C3" s="10" t="s">
        <v>49</v>
      </c>
      <c r="F3" s="10" t="s">
        <v>54</v>
      </c>
      <c r="G3" s="9" t="s">
        <v>48</v>
      </c>
      <c r="H3" s="9" t="s">
        <v>50</v>
      </c>
      <c r="I3" s="10" t="s">
        <v>49</v>
      </c>
    </row>
    <row r="4" spans="1:11" ht="116" x14ac:dyDescent="0.35">
      <c r="A4" s="14" t="s">
        <v>55</v>
      </c>
      <c r="B4" s="14">
        <v>25</v>
      </c>
      <c r="C4" s="11" t="s">
        <v>94</v>
      </c>
      <c r="F4" s="14" t="s">
        <v>55</v>
      </c>
      <c r="G4" s="11">
        <v>23</v>
      </c>
      <c r="H4" s="11">
        <v>2</v>
      </c>
      <c r="I4" s="11" t="s">
        <v>107</v>
      </c>
      <c r="K4" s="15"/>
    </row>
    <row r="5" spans="1:11" ht="72.5" x14ac:dyDescent="0.35">
      <c r="A5" s="11"/>
      <c r="B5" s="14">
        <v>27</v>
      </c>
      <c r="C5" s="11" t="s">
        <v>95</v>
      </c>
      <c r="F5" s="11"/>
      <c r="G5" s="11">
        <v>29</v>
      </c>
      <c r="H5" s="11">
        <v>2</v>
      </c>
      <c r="I5" s="11" t="s">
        <v>108</v>
      </c>
    </row>
    <row r="6" spans="1:11" ht="130.5" x14ac:dyDescent="0.35">
      <c r="A6" s="11"/>
      <c r="B6" s="14">
        <v>54</v>
      </c>
      <c r="C6" s="11" t="s">
        <v>96</v>
      </c>
      <c r="F6" s="11"/>
      <c r="G6" s="11">
        <v>41</v>
      </c>
      <c r="H6" s="11">
        <v>3</v>
      </c>
      <c r="I6" s="11" t="s">
        <v>109</v>
      </c>
    </row>
    <row r="7" spans="1:11" ht="58" x14ac:dyDescent="0.35">
      <c r="B7" s="11"/>
      <c r="C7" s="11"/>
      <c r="F7" s="11"/>
      <c r="G7" s="11">
        <v>55</v>
      </c>
      <c r="H7" s="11">
        <v>2</v>
      </c>
      <c r="I7" s="11" t="s">
        <v>110</v>
      </c>
    </row>
    <row r="8" spans="1:11" ht="130.5" x14ac:dyDescent="0.35">
      <c r="A8" s="14" t="s">
        <v>56</v>
      </c>
      <c r="B8" s="14">
        <v>38</v>
      </c>
      <c r="C8" s="11" t="s">
        <v>97</v>
      </c>
      <c r="F8" s="14" t="s">
        <v>56</v>
      </c>
      <c r="G8" s="11">
        <v>12</v>
      </c>
      <c r="H8" s="11">
        <v>3</v>
      </c>
      <c r="I8" s="11" t="s">
        <v>111</v>
      </c>
    </row>
    <row r="9" spans="1:11" ht="145" x14ac:dyDescent="0.35">
      <c r="A9" s="11"/>
      <c r="B9" s="14">
        <v>54</v>
      </c>
      <c r="C9" s="11" t="s">
        <v>98</v>
      </c>
      <c r="F9" s="11"/>
      <c r="G9" s="11">
        <v>27</v>
      </c>
      <c r="H9" s="11">
        <v>1</v>
      </c>
      <c r="I9" s="11" t="s">
        <v>112</v>
      </c>
    </row>
    <row r="10" spans="1:11" ht="72.5" x14ac:dyDescent="0.35">
      <c r="B10" s="11"/>
      <c r="C10" s="11"/>
      <c r="F10" s="11"/>
      <c r="G10" s="11">
        <v>31</v>
      </c>
      <c r="H10" s="11">
        <v>2</v>
      </c>
      <c r="I10" s="11" t="s">
        <v>113</v>
      </c>
    </row>
    <row r="11" spans="1:11" ht="58" x14ac:dyDescent="0.35">
      <c r="A11" s="14" t="s">
        <v>27</v>
      </c>
      <c r="B11" s="14">
        <v>27</v>
      </c>
      <c r="C11" s="11" t="s">
        <v>73</v>
      </c>
      <c r="F11" s="11"/>
      <c r="G11" s="11">
        <v>55</v>
      </c>
      <c r="H11" s="11">
        <v>2</v>
      </c>
      <c r="I11" s="11" t="s">
        <v>110</v>
      </c>
    </row>
    <row r="12" spans="1:11" ht="116" x14ac:dyDescent="0.35">
      <c r="A12" s="11"/>
      <c r="B12" s="14">
        <v>31</v>
      </c>
      <c r="C12" s="11" t="s">
        <v>99</v>
      </c>
      <c r="F12" s="14" t="s">
        <v>27</v>
      </c>
      <c r="G12" s="11">
        <v>22</v>
      </c>
      <c r="H12" s="11">
        <v>4</v>
      </c>
      <c r="I12" s="11" t="s">
        <v>114</v>
      </c>
    </row>
    <row r="13" spans="1:11" ht="116" x14ac:dyDescent="0.35">
      <c r="B13" s="14">
        <v>54</v>
      </c>
      <c r="C13" s="11" t="s">
        <v>100</v>
      </c>
      <c r="F13" s="11"/>
      <c r="G13" s="11">
        <v>27</v>
      </c>
      <c r="H13" s="11">
        <v>3</v>
      </c>
      <c r="I13" s="11" t="s">
        <v>115</v>
      </c>
    </row>
    <row r="14" spans="1:11" ht="116" x14ac:dyDescent="0.35">
      <c r="B14" s="14">
        <v>55</v>
      </c>
      <c r="C14" s="11" t="s">
        <v>101</v>
      </c>
      <c r="D14" s="9"/>
      <c r="F14" s="11"/>
      <c r="G14" s="11">
        <v>29</v>
      </c>
      <c r="H14" s="11">
        <v>4</v>
      </c>
      <c r="I14" s="11" t="s">
        <v>94</v>
      </c>
    </row>
    <row r="15" spans="1:11" x14ac:dyDescent="0.35">
      <c r="D15" s="8"/>
      <c r="F15" s="14"/>
      <c r="G15" s="11"/>
      <c r="H15" s="11"/>
      <c r="I15" s="11"/>
    </row>
    <row r="16" spans="1:11" x14ac:dyDescent="0.35">
      <c r="D16" s="8"/>
      <c r="F16" s="11"/>
      <c r="G16" s="11"/>
      <c r="H16" s="11"/>
      <c r="I16" s="11"/>
    </row>
    <row r="17" spans="1:15" x14ac:dyDescent="0.35">
      <c r="D17" s="8"/>
      <c r="F17" s="11"/>
      <c r="G17" s="11"/>
      <c r="H17" s="11"/>
      <c r="I17" s="11"/>
    </row>
    <row r="18" spans="1:15" x14ac:dyDescent="0.35">
      <c r="D18" s="8"/>
      <c r="F18" s="11"/>
      <c r="G18" s="11"/>
      <c r="H18" s="11"/>
      <c r="I18" s="11"/>
    </row>
    <row r="19" spans="1:15" x14ac:dyDescent="0.35">
      <c r="A19" s="11"/>
      <c r="B19" s="8"/>
      <c r="C19" s="8"/>
      <c r="D19" s="8"/>
      <c r="F19" s="11"/>
      <c r="G19" s="11"/>
      <c r="H19" s="11"/>
      <c r="I19" s="11"/>
    </row>
    <row r="20" spans="1:15" x14ac:dyDescent="0.35">
      <c r="A20" s="11"/>
      <c r="B20" s="8"/>
      <c r="C20" s="8"/>
      <c r="D20" s="8"/>
      <c r="F20" s="11"/>
      <c r="G20" s="11"/>
      <c r="H20" s="11"/>
      <c r="I20" s="11"/>
      <c r="M20" t="s">
        <v>72</v>
      </c>
      <c r="N20" t="s">
        <v>71</v>
      </c>
      <c r="O20" t="s">
        <v>70</v>
      </c>
    </row>
    <row r="21" spans="1:15" x14ac:dyDescent="0.35">
      <c r="A21" s="11"/>
      <c r="B21" s="8"/>
      <c r="C21" s="8"/>
      <c r="D21" s="8"/>
      <c r="G21" s="11"/>
      <c r="H21" s="11"/>
      <c r="I21" s="11"/>
      <c r="M21" s="12">
        <v>1</v>
      </c>
      <c r="N21">
        <v>233</v>
      </c>
      <c r="O21">
        <v>201</v>
      </c>
    </row>
    <row r="22" spans="1:15" x14ac:dyDescent="0.35">
      <c r="A22" s="11"/>
      <c r="B22" s="8"/>
      <c r="C22" s="8"/>
      <c r="D22" s="8"/>
      <c r="G22" s="11"/>
      <c r="H22" s="11"/>
      <c r="I22" s="11"/>
      <c r="M22" s="12">
        <v>2</v>
      </c>
      <c r="N22">
        <v>485</v>
      </c>
      <c r="O22">
        <v>64</v>
      </c>
    </row>
    <row r="23" spans="1:15" x14ac:dyDescent="0.35">
      <c r="A23" s="11"/>
      <c r="B23" s="8"/>
      <c r="C23" s="8"/>
      <c r="D23" s="8"/>
      <c r="G23" s="11"/>
      <c r="H23" s="11"/>
      <c r="I23" s="11"/>
      <c r="M23" s="12">
        <v>3</v>
      </c>
      <c r="N23">
        <v>355</v>
      </c>
      <c r="O23">
        <v>67</v>
      </c>
    </row>
    <row r="24" spans="1:15" x14ac:dyDescent="0.35">
      <c r="M24" s="12">
        <v>4</v>
      </c>
      <c r="N24">
        <v>488</v>
      </c>
      <c r="O24">
        <v>270</v>
      </c>
    </row>
    <row r="25" spans="1:15" x14ac:dyDescent="0.35">
      <c r="M25" s="12">
        <v>5</v>
      </c>
      <c r="N25">
        <v>395</v>
      </c>
      <c r="O25">
        <v>279</v>
      </c>
    </row>
    <row r="26" spans="1:15" x14ac:dyDescent="0.35">
      <c r="M26" s="12">
        <v>6</v>
      </c>
      <c r="N26">
        <v>489</v>
      </c>
      <c r="O26">
        <v>164</v>
      </c>
    </row>
    <row r="27" spans="1:15" x14ac:dyDescent="0.35">
      <c r="M27" s="12">
        <v>7</v>
      </c>
      <c r="N27">
        <v>274</v>
      </c>
      <c r="O27">
        <v>460</v>
      </c>
    </row>
    <row r="28" spans="1:15" x14ac:dyDescent="0.35">
      <c r="M28" s="12">
        <v>8</v>
      </c>
      <c r="N28">
        <v>34</v>
      </c>
      <c r="O28">
        <v>396</v>
      </c>
    </row>
    <row r="29" spans="1:15" x14ac:dyDescent="0.35">
      <c r="M29" s="12">
        <v>9</v>
      </c>
      <c r="N29">
        <v>329</v>
      </c>
      <c r="O29">
        <v>128</v>
      </c>
    </row>
    <row r="30" spans="1:15" x14ac:dyDescent="0.35">
      <c r="M30" s="12">
        <v>10</v>
      </c>
      <c r="N30">
        <v>162</v>
      </c>
      <c r="O30">
        <v>276</v>
      </c>
    </row>
    <row r="31" spans="1:15" x14ac:dyDescent="0.35">
      <c r="M31" s="12">
        <v>11</v>
      </c>
      <c r="N31">
        <v>221</v>
      </c>
      <c r="O31">
        <v>376</v>
      </c>
    </row>
    <row r="32" spans="1:15" x14ac:dyDescent="0.35">
      <c r="M32" s="12">
        <v>12</v>
      </c>
      <c r="N32">
        <v>184</v>
      </c>
      <c r="O32">
        <v>180</v>
      </c>
    </row>
    <row r="33" spans="13:15" x14ac:dyDescent="0.35">
      <c r="M33" s="12">
        <v>13</v>
      </c>
      <c r="N33">
        <v>468</v>
      </c>
      <c r="O33">
        <v>374</v>
      </c>
    </row>
    <row r="34" spans="13:15" x14ac:dyDescent="0.35">
      <c r="M34" s="12">
        <v>14</v>
      </c>
      <c r="N34">
        <v>213</v>
      </c>
      <c r="O34">
        <v>236</v>
      </c>
    </row>
    <row r="35" spans="13:15" x14ac:dyDescent="0.35">
      <c r="M35" s="12">
        <v>15</v>
      </c>
      <c r="N35">
        <v>6</v>
      </c>
      <c r="O35">
        <v>205</v>
      </c>
    </row>
    <row r="36" spans="13:15" x14ac:dyDescent="0.35">
      <c r="M36" s="12">
        <v>16</v>
      </c>
      <c r="N36">
        <v>40</v>
      </c>
      <c r="O36">
        <v>273</v>
      </c>
    </row>
    <row r="37" spans="13:15" x14ac:dyDescent="0.35">
      <c r="M37" s="12">
        <v>17</v>
      </c>
      <c r="N37">
        <v>294</v>
      </c>
      <c r="O37">
        <v>463</v>
      </c>
    </row>
    <row r="38" spans="13:15" x14ac:dyDescent="0.35">
      <c r="M38" s="12">
        <v>18</v>
      </c>
      <c r="N38">
        <v>223</v>
      </c>
      <c r="O38">
        <v>35</v>
      </c>
    </row>
    <row r="39" spans="13:15" x14ac:dyDescent="0.35">
      <c r="M39" s="12">
        <v>19</v>
      </c>
      <c r="N39">
        <v>18</v>
      </c>
      <c r="O39">
        <v>31</v>
      </c>
    </row>
    <row r="40" spans="13:15" x14ac:dyDescent="0.35">
      <c r="M40" s="12">
        <v>20</v>
      </c>
      <c r="N40">
        <v>176</v>
      </c>
      <c r="O40">
        <v>474</v>
      </c>
    </row>
    <row r="41" spans="13:15" x14ac:dyDescent="0.35">
      <c r="M41" s="12">
        <v>21</v>
      </c>
      <c r="N41">
        <v>134</v>
      </c>
      <c r="O41">
        <v>306</v>
      </c>
    </row>
    <row r="42" spans="13:15" x14ac:dyDescent="0.35">
      <c r="M42" s="12">
        <v>22</v>
      </c>
      <c r="N42">
        <v>88</v>
      </c>
      <c r="O42">
        <v>248</v>
      </c>
    </row>
    <row r="43" spans="13:15" x14ac:dyDescent="0.35">
      <c r="M43" s="12">
        <v>23</v>
      </c>
      <c r="N43">
        <v>479</v>
      </c>
      <c r="O43">
        <v>75</v>
      </c>
    </row>
    <row r="44" spans="13:15" x14ac:dyDescent="0.35">
      <c r="M44" s="12">
        <v>24</v>
      </c>
      <c r="N44">
        <v>482</v>
      </c>
      <c r="O44">
        <v>304</v>
      </c>
    </row>
    <row r="45" spans="13:15" x14ac:dyDescent="0.35">
      <c r="M45" s="12">
        <v>25</v>
      </c>
      <c r="N45">
        <v>352</v>
      </c>
      <c r="O45">
        <v>396</v>
      </c>
    </row>
    <row r="46" spans="13:15" x14ac:dyDescent="0.35">
      <c r="M46" s="12">
        <v>26</v>
      </c>
      <c r="N46">
        <v>409</v>
      </c>
      <c r="O46">
        <v>398</v>
      </c>
    </row>
    <row r="47" spans="13:15" x14ac:dyDescent="0.35">
      <c r="M47" s="12">
        <v>27</v>
      </c>
      <c r="N47">
        <v>436</v>
      </c>
      <c r="O47">
        <v>66</v>
      </c>
    </row>
    <row r="48" spans="13:15" x14ac:dyDescent="0.35">
      <c r="M48" s="12">
        <v>28</v>
      </c>
      <c r="N48">
        <v>117</v>
      </c>
      <c r="O48">
        <v>253</v>
      </c>
    </row>
    <row r="49" spans="13:15" x14ac:dyDescent="0.35">
      <c r="M49" s="12">
        <v>29</v>
      </c>
      <c r="N49">
        <v>409</v>
      </c>
      <c r="O49">
        <v>365</v>
      </c>
    </row>
    <row r="50" spans="13:15" x14ac:dyDescent="0.35">
      <c r="M50" s="12">
        <v>30</v>
      </c>
      <c r="N50">
        <v>298</v>
      </c>
      <c r="O50">
        <v>414</v>
      </c>
    </row>
    <row r="51" spans="13:15" x14ac:dyDescent="0.35">
      <c r="M51" s="12">
        <v>31</v>
      </c>
      <c r="N51">
        <v>422</v>
      </c>
      <c r="O51">
        <v>373</v>
      </c>
    </row>
    <row r="52" spans="13:15" x14ac:dyDescent="0.35">
      <c r="M52" s="12">
        <v>32</v>
      </c>
      <c r="N52">
        <v>6</v>
      </c>
      <c r="O52">
        <v>223</v>
      </c>
    </row>
    <row r="53" spans="13:15" x14ac:dyDescent="0.35">
      <c r="M53" s="12">
        <v>33</v>
      </c>
      <c r="N53">
        <v>102</v>
      </c>
      <c r="O53">
        <v>473</v>
      </c>
    </row>
    <row r="54" spans="13:15" x14ac:dyDescent="0.35">
      <c r="M54" s="12">
        <v>34</v>
      </c>
      <c r="N54">
        <v>210</v>
      </c>
      <c r="O54">
        <v>433</v>
      </c>
    </row>
    <row r="55" spans="13:15" x14ac:dyDescent="0.35">
      <c r="M55" s="12">
        <v>35</v>
      </c>
      <c r="N55">
        <v>467</v>
      </c>
      <c r="O55">
        <v>476</v>
      </c>
    </row>
    <row r="56" spans="13:15" x14ac:dyDescent="0.35">
      <c r="M56" s="12">
        <v>36</v>
      </c>
      <c r="N56">
        <v>187</v>
      </c>
      <c r="O56">
        <v>210</v>
      </c>
    </row>
    <row r="57" spans="13:15" x14ac:dyDescent="0.35">
      <c r="M57" s="12">
        <v>37</v>
      </c>
      <c r="N57">
        <v>37</v>
      </c>
      <c r="O57">
        <v>136</v>
      </c>
    </row>
    <row r="58" spans="13:15" x14ac:dyDescent="0.35">
      <c r="M58" s="12">
        <v>38</v>
      </c>
      <c r="N58">
        <v>370</v>
      </c>
      <c r="O58">
        <v>376</v>
      </c>
    </row>
    <row r="59" spans="13:15" x14ac:dyDescent="0.35">
      <c r="M59" s="12">
        <v>39</v>
      </c>
      <c r="N59">
        <v>334</v>
      </c>
      <c r="O59">
        <v>95</v>
      </c>
    </row>
    <row r="60" spans="13:15" x14ac:dyDescent="0.35">
      <c r="M60" s="12">
        <v>40</v>
      </c>
      <c r="N60">
        <v>499</v>
      </c>
      <c r="O60">
        <v>8</v>
      </c>
    </row>
    <row r="61" spans="13:15" x14ac:dyDescent="0.35">
      <c r="M61" s="12">
        <v>41</v>
      </c>
      <c r="N61">
        <v>187</v>
      </c>
      <c r="O61">
        <v>178</v>
      </c>
    </row>
    <row r="62" spans="13:15" x14ac:dyDescent="0.35">
      <c r="M62" s="12">
        <v>42</v>
      </c>
      <c r="N62">
        <v>38</v>
      </c>
      <c r="O62">
        <v>387</v>
      </c>
    </row>
    <row r="63" spans="13:15" x14ac:dyDescent="0.35">
      <c r="M63" s="12">
        <v>43</v>
      </c>
      <c r="N63">
        <v>482</v>
      </c>
      <c r="O63">
        <v>324</v>
      </c>
    </row>
    <row r="64" spans="13:15" x14ac:dyDescent="0.35">
      <c r="M64" s="12">
        <v>44</v>
      </c>
      <c r="N64">
        <v>84</v>
      </c>
      <c r="O64">
        <v>426</v>
      </c>
    </row>
    <row r="65" spans="13:15" x14ac:dyDescent="0.35">
      <c r="M65" s="12">
        <v>45</v>
      </c>
      <c r="N65">
        <v>41</v>
      </c>
      <c r="O65">
        <v>155</v>
      </c>
    </row>
    <row r="66" spans="13:15" x14ac:dyDescent="0.35">
      <c r="M66" s="12">
        <v>46</v>
      </c>
      <c r="N66">
        <v>436</v>
      </c>
      <c r="O66">
        <v>21</v>
      </c>
    </row>
    <row r="67" spans="13:15" x14ac:dyDescent="0.35">
      <c r="M67" s="12">
        <v>47</v>
      </c>
      <c r="N67">
        <v>246</v>
      </c>
      <c r="O67">
        <v>141</v>
      </c>
    </row>
    <row r="68" spans="13:15" x14ac:dyDescent="0.35">
      <c r="M68" s="12">
        <v>48</v>
      </c>
      <c r="N68">
        <v>205</v>
      </c>
      <c r="O68">
        <v>198</v>
      </c>
    </row>
    <row r="69" spans="13:15" x14ac:dyDescent="0.35">
      <c r="M69" s="12">
        <v>49</v>
      </c>
      <c r="N69">
        <v>166</v>
      </c>
      <c r="O69">
        <v>5</v>
      </c>
    </row>
    <row r="70" spans="13:15" x14ac:dyDescent="0.35">
      <c r="M70" s="12">
        <v>50</v>
      </c>
      <c r="N70">
        <v>400</v>
      </c>
      <c r="O70">
        <v>457</v>
      </c>
    </row>
    <row r="71" spans="13:15" x14ac:dyDescent="0.35">
      <c r="M71" s="12">
        <v>51</v>
      </c>
      <c r="N71">
        <v>253</v>
      </c>
      <c r="O71">
        <v>412</v>
      </c>
    </row>
    <row r="72" spans="13:15" x14ac:dyDescent="0.35">
      <c r="M72" s="12">
        <v>52</v>
      </c>
      <c r="N72">
        <v>382</v>
      </c>
      <c r="O72">
        <v>335</v>
      </c>
    </row>
    <row r="73" spans="13:15" x14ac:dyDescent="0.35">
      <c r="M73" s="12">
        <v>53</v>
      </c>
      <c r="N73">
        <v>117</v>
      </c>
      <c r="O73">
        <v>171</v>
      </c>
    </row>
    <row r="74" spans="13:15" x14ac:dyDescent="0.35">
      <c r="M74" s="12">
        <v>54</v>
      </c>
      <c r="N74">
        <v>109</v>
      </c>
      <c r="O74">
        <v>212</v>
      </c>
    </row>
    <row r="75" spans="13:15" x14ac:dyDescent="0.35">
      <c r="M75" s="12">
        <v>55</v>
      </c>
      <c r="N75">
        <v>206</v>
      </c>
      <c r="O75">
        <v>442</v>
      </c>
    </row>
    <row r="76" spans="13:15" x14ac:dyDescent="0.35">
      <c r="M76" s="12">
        <v>56</v>
      </c>
      <c r="N76">
        <v>25</v>
      </c>
      <c r="O76">
        <v>129</v>
      </c>
    </row>
    <row r="77" spans="13:15" x14ac:dyDescent="0.35">
      <c r="M77" s="12">
        <v>57</v>
      </c>
      <c r="N77">
        <v>180</v>
      </c>
      <c r="O77">
        <v>500</v>
      </c>
    </row>
    <row r="78" spans="13:15" x14ac:dyDescent="0.35">
      <c r="M78" s="12">
        <v>58</v>
      </c>
      <c r="N78">
        <v>253</v>
      </c>
      <c r="O78">
        <v>169</v>
      </c>
    </row>
    <row r="79" spans="13:15" x14ac:dyDescent="0.35">
      <c r="M79" s="12">
        <v>59</v>
      </c>
      <c r="N79">
        <v>280</v>
      </c>
      <c r="O79">
        <v>275</v>
      </c>
    </row>
    <row r="80" spans="13:15" x14ac:dyDescent="0.35">
      <c r="M80" s="12">
        <v>60</v>
      </c>
      <c r="N80">
        <v>18</v>
      </c>
      <c r="O80">
        <v>445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2 7 e 2 7 3 f - 4 a e 3 - 4 1 9 0 - 9 a 3 6 - 6 c d c 5 8 9 4 8 d 7 9 "   x m l n s = " h t t p : / / s c h e m a s . m i c r o s o f t . c o m / D a t a M a s h u p " > A A A A A O I E A A B Q S w M E F A A C A A g A T a U D X Z d 2 Y i W m A A A A 9 g A A A B I A H A B D b 2 5 m a W c v U G F j a 2 F n Z S 5 4 b W w g o h g A K K A U A A A A A A A A A A A A A A A A A A A A A A A A A A A A h Y 9 L D o I w A E S v Q r q n L f U T J a U k G n e S m J g Y t 0 0 p 0 A j F t M V y N x c e y S u I U d S d y 3 n z F j P 3 6 4 2 m f V M H F 2 m s a n U C I o h B I L V o c 6 X L B H S u C B c g Z X T H x Y m X M h h k b e P e 5 g m o n D v H C H n v o Z / A 1 p S I Y B y h Y 7 b d i 0 o 2 H H x k 9 V 8 O l b a O a y E B o 4 f X G E Z g N J v D K V l C T N E I a a b 0 V y D D 3 m f 7 A + m 6 q 1 1 n J C t M u N p Q N E a K 3 h / Y A 1 B L A w Q U A A I A C A B N p Q N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a U D X a 1 1 B u T a A Q A A m w 8 A A B M A H A B G b 3 J t d W x h c y 9 T Z W N 0 a W 9 u M S 5 t I K I Y A C i g F A A A A A A A A A A A A A A A A A A A A A A A A A A A A O 2 W w Y r b M B C G 7 4 a 8 w 6 B Q s M E N Z L f 0 U v Y Q v K U U 0 i T E L j 2 E H B R 7 n K i R J S P J 2 4 a Q B 9 r n 2 B e r b D f N 7 m b T + r p F v l j o / z X / W M w H 1 p g a J g X E 7 X v 4 o e f 1 P L 2 h C j O I p t M Z 3 A B H 0 / P A P r G s V I p 2 5 + P P F P k g q p R C Y b 5 J t V 1 J u f W D / W J C C 7 w h C V 1 x p N W Q L A + L S A p j T c u w L d E n y a 5 E K G T G c v Z w T 2 y x x j 1 I F B U 6 l 6 q I J K 8 K U b u 0 3 w a G + z 3 5 Q k s S w m d h 3 r 8 b 1 N o h h D 2 J a A n + m + B c i F M U V D F 5 r i T S U A 6 R 1 M Z q p m 5 F V M U K V S N O S x R M r I / y 8 6 N 1 h 6 V U h j Y X d q H G H A 1 l H B X E R q b b S 6 7 b 6 O / 6 q Q r N 0 e z + X a y D b d I s Q e Z w G + n z z 3 s i w 1 s Y 4 x 1 y G H Y 1 X n U 1 X p 8 b x 5 J m 9 b 3 P q c E X G o 9 3 A t W a v S Q l p Y b 5 1 w k c J S p 2 z f 6 n 0 e z x 1 i H 4 M 3 4 z V F o K Q T n T D / d W / S 4 r Y x e n Q R x l W T u C / v N Z D Y E 0 R N x p i E d 1 J N J 0 A y y H x X H e l r b K N Z g N i t Z K P O Q a g c Q j c u p g z N Y C N e S M G 2 W T 9 S k 6 R m 4 p n M s f 2 r / c 6 O 9 Y f 9 F / 0 k 0 d 3 W Y G Q c 9 j 4 m L a Y 8 D t Q Y e 3 w 9 v h / T r w r n O 6 w 9 2 3 f v C v A u I Y d 4 w 7 x v 9 T x p s C j n J H u a P 8 F V H e 6 U f 9 F 1 B L A Q I t A B Q A A g A I A E 2 l A 1 2 X d m I l p g A A A P Y A A A A S A A A A A A A A A A A A A A A A A A A A A A B D b 2 5 m a W c v U G F j a 2 F n Z S 5 4 b W x Q S w E C L Q A U A A I A C A B N p Q N d D 8 r p q 6 Q A A A D p A A A A E w A A A A A A A A A A A A A A A A D y A A A A W 0 N v b n R l b n R f V H l w Z X N d L n h t b F B L A Q I t A B Q A A g A I A E 2 l A 1 2 t d Q b k 2 g E A A J s P A A A T A A A A A A A A A A A A A A A A A O M B A A B G b 3 J t d W x h c y 9 T Z W N 0 a W 9 u M S 5 t U E s F B g A A A A A D A A M A w g A A A A o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p R A A A A A A A A G F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N P T 1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Z j F i Z T M 3 N S 0 w Z j A 1 L T Q 4 N W Y t O W Y y N i 0 w N T F i N z J m M 2 E z Y 2 I i I C 8 + P E V u d H J 5 I F R 5 c G U 9 I k Z p b G x F b m F i b G V k I i B W Y W x 1 Z T 0 i b D E i I C 8 + P E V u d H J 5 I F R 5 c G U 9 I k Z p b G x F c n J v c k N v d W 5 0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N P T 1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P T 1 A v Q X V 0 b 1 J l b W 9 2 Z W R D b 2 x 1 b W 5 z M S 5 7 T W F w L D B 9 J n F 1 b 3 Q 7 L C Z x d W 9 0 O 1 N l Y 3 R p b 2 4 x L 0 N P T 1 A v Q X V 0 b 1 J l b W 9 2 Z W R D b 2 x 1 b W 5 z M S 5 7 Q 2 F w I C g l K S w x f S Z x d W 9 0 O y w m c X V v d D t T Z W N 0 a W 9 u M S 9 D T 0 9 Q L 0 F 1 d G 9 S Z W 1 v d m V k Q 2 9 s d W 1 u c z E u e 1 N j Z W 5 h c m l v L D J 9 J n F 1 b 3 Q 7 L C Z x d W 9 0 O 1 N l Y 3 R p b 2 4 x L 0 N P T 1 A v Q X V 0 b 1 J l b W 9 2 Z W R D b 2 x 1 b W 5 z M S 5 7 V G 9 0 Y W w g Q 2 9 z d C w z f S Z x d W 9 0 O y w m c X V v d D t T Z W N 0 a W 9 u M S 9 D T 0 9 Q L 0 F 1 d G 9 S Z W 1 v d m V k Q 2 9 s d W 1 u c z E u e 0 9 w Z W 5 p b m c g Q 2 9 z d C w 0 f S Z x d W 9 0 O y w m c X V v d D t T Z W N 0 a W 9 u M S 9 D T 0 9 Q L 0 F 1 d G 9 S Z W 1 v d m V k Q 2 9 s d W 1 u c z E u e 1 R y Y W 5 z c G 9 y d G F 0 a W 9 u I E N v c 3 Q s N X 0 m c X V v d D s s J n F 1 b 3 Q 7 U 2 V j d G l v b j E v Q 0 9 P U C 9 B d X R v U m V t b 3 Z l Z E N v b H V t b n M x L n t S Z X R h a W x l c i B T d G 9 j a y B D b 3 N 0 L D Z 9 J n F 1 b 3 Q 7 L C Z x d W 9 0 O 1 N l Y 3 R p b 2 4 x L 0 N P T 1 A v Q X V 0 b 1 J l b W 9 2 Z W R D b 2 x 1 b W 5 z M S 5 7 R E M g U 3 R v Y 2 s g Q 2 9 z d C w 3 f S Z x d W 9 0 O y w m c X V v d D t T Z W N 0 a W 9 u M S 9 D T 0 9 Q L 0 F 1 d G 9 S Z W 1 v d m V k Q 2 9 s d W 1 u c z E u e 1 J l d G F p b G V y I F N h Z m V 0 e S B T d G 9 j a y B D b 3 N 0 L D h 9 J n F 1 b 3 Q 7 L C Z x d W 9 0 O 1 N l Y 3 R p b 2 4 x L 0 N P T 1 A v Q X V 0 b 1 J l b W 9 2 Z W R D b 2 x 1 b W 5 z M S 5 7 R E M g U 2 F m Z X R 5 I F N 0 b 2 N r I E N v c 3 Q s O X 0 m c X V v d D s s J n F 1 b 3 Q 7 U 2 V j d G l v b j E v Q 0 9 P U C 9 B d X R v U m V t b 3 Z l Z E N v b H V t b n M x L n t O d W 1 i Z X I g b 2 Y g R E N z L D E w f S Z x d W 9 0 O y w m c X V v d D t T Z W N 0 a W 9 u M S 9 D T 0 9 Q L 0 F 1 d G 9 S Z W 1 v d m V k Q 2 9 s d W 1 u c z E u e 0 5 1 b W J l c i B v Z i B E Q 3 M g L S B M Z X Z l b C A x L D E x f S Z x d W 9 0 O y w m c X V v d D t T Z W N 0 a W 9 u M S 9 D T 0 9 Q L 0 F 1 d G 9 S Z W 1 v d m V k Q 2 9 s d W 1 u c z E u e 0 5 1 b W J l c i B v Z i B E Q 3 M g L S B M Z X Z l b C A y L D E y f S Z x d W 9 0 O y w m c X V v d D t T Z W N 0 a W 9 u M S 9 D T 0 9 Q L 0 F 1 d G 9 S Z W 1 v d m V k Q 2 9 s d W 1 u c z E u e 0 5 1 b W J l c i B v Z i B E Q 3 M g L S B M Z X Z l b C A z L D E z f S Z x d W 9 0 O y w m c X V v d D t T Z W N 0 a W 9 u M S 9 D T 0 9 Q L 0 F 1 d G 9 S Z W 1 v d m V k Q 2 9 s d W 1 u c z E u e 0 5 1 b W J l c i B v Z i B E Q 3 M g L S B M Z X Z l b C A 0 L D E 0 f S Z x d W 9 0 O y w m c X V v d D t T Z W N 0 a W 9 u M S 9 D T 0 9 Q L 0 F 1 d G 9 S Z W 1 v d m V k Q 2 9 s d W 1 u c z E u e 0 x v Y W R p b m c g U m F 0 Z S w x N X 0 m c X V v d D s s J n F 1 b 3 Q 7 U 2 V j d G l v b j E v Q 0 9 P U C 9 B d X R v U m V t b 3 Z l Z E N v b H V t b n M x L n t T e W 5 l c m d p Z S w x N n 0 m c X V v d D s s J n F 1 b 3 Q 7 U 2 V j d G l v b j E v Q 0 9 P U C 9 B d X R v U m V t b 3 Z l Z E N v b H V t b n M x L n t U c H M g U l V O I C w x N 3 0 m c X V v d D s s J n F 1 b 3 Q 7 U 2 V j d G l v b j E v Q 0 9 P U C 9 B d X R v U m V t b 3 Z l Z E N v b H V t b n M x L n t H Q V A s M T h 9 J n F 1 b 3 Q 7 L C Z x d W 9 0 O 1 N l Y 3 R p b 2 4 x L 0 N P T 1 A v Q X V 0 b 1 J l b W 9 2 Z W R D b 2 x 1 b W 5 z M S 5 7 Q 0 9 P U C B 2 c y B T Q S A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D T 0 9 Q L 0 F 1 d G 9 S Z W 1 v d m V k Q 2 9 s d W 1 u c z E u e 0 1 h c C w w f S Z x d W 9 0 O y w m c X V v d D t T Z W N 0 a W 9 u M S 9 D T 0 9 Q L 0 F 1 d G 9 S Z W 1 v d m V k Q 2 9 s d W 1 u c z E u e 0 N h c C A o J S k s M X 0 m c X V v d D s s J n F 1 b 3 Q 7 U 2 V j d G l v b j E v Q 0 9 P U C 9 B d X R v U m V t b 3 Z l Z E N v b H V t b n M x L n t T Y 2 V u Y X J p b y w y f S Z x d W 9 0 O y w m c X V v d D t T Z W N 0 a W 9 u M S 9 D T 0 9 Q L 0 F 1 d G 9 S Z W 1 v d m V k Q 2 9 s d W 1 u c z E u e 1 R v d G F s I E N v c 3 Q s M 3 0 m c X V v d D s s J n F 1 b 3 Q 7 U 2 V j d G l v b j E v Q 0 9 P U C 9 B d X R v U m V t b 3 Z l Z E N v b H V t b n M x L n t P c G V u a W 5 n I E N v c 3 Q s N H 0 m c X V v d D s s J n F 1 b 3 Q 7 U 2 V j d G l v b j E v Q 0 9 P U C 9 B d X R v U m V t b 3 Z l Z E N v b H V t b n M x L n t U c m F u c 3 B v c n R h d G l v b i B D b 3 N 0 L D V 9 J n F 1 b 3 Q 7 L C Z x d W 9 0 O 1 N l Y 3 R p b 2 4 x L 0 N P T 1 A v Q X V 0 b 1 J l b W 9 2 Z W R D b 2 x 1 b W 5 z M S 5 7 U m V 0 Y W l s Z X I g U 3 R v Y 2 s g Q 2 9 z d C w 2 f S Z x d W 9 0 O y w m c X V v d D t T Z W N 0 a W 9 u M S 9 D T 0 9 Q L 0 F 1 d G 9 S Z W 1 v d m V k Q 2 9 s d W 1 u c z E u e 0 R D I F N 0 b 2 N r I E N v c 3 Q s N 3 0 m c X V v d D s s J n F 1 b 3 Q 7 U 2 V j d G l v b j E v Q 0 9 P U C 9 B d X R v U m V t b 3 Z l Z E N v b H V t b n M x L n t S Z X R h a W x l c i B T Y W Z l d H k g U 3 R v Y 2 s g Q 2 9 z d C w 4 f S Z x d W 9 0 O y w m c X V v d D t T Z W N 0 a W 9 u M S 9 D T 0 9 Q L 0 F 1 d G 9 S Z W 1 v d m V k Q 2 9 s d W 1 u c z E u e 0 R D I F N h Z m V 0 e S B T d G 9 j a y B D b 3 N 0 L D l 9 J n F 1 b 3 Q 7 L C Z x d W 9 0 O 1 N l Y 3 R p b 2 4 x L 0 N P T 1 A v Q X V 0 b 1 J l b W 9 2 Z W R D b 2 x 1 b W 5 z M S 5 7 T n V t Y m V y I G 9 m I E R D c y w x M H 0 m c X V v d D s s J n F 1 b 3 Q 7 U 2 V j d G l v b j E v Q 0 9 P U C 9 B d X R v U m V t b 3 Z l Z E N v b H V t b n M x L n t O d W 1 i Z X I g b 2 Y g R E N z I C 0 g T G V 2 Z W w g M S w x M X 0 m c X V v d D s s J n F 1 b 3 Q 7 U 2 V j d G l v b j E v Q 0 9 P U C 9 B d X R v U m V t b 3 Z l Z E N v b H V t b n M x L n t O d W 1 i Z X I g b 2 Y g R E N z I C 0 g T G V 2 Z W w g M i w x M n 0 m c X V v d D s s J n F 1 b 3 Q 7 U 2 V j d G l v b j E v Q 0 9 P U C 9 B d X R v U m V t b 3 Z l Z E N v b H V t b n M x L n t O d W 1 i Z X I g b 2 Y g R E N z I C 0 g T G V 2 Z W w g M y w x M 3 0 m c X V v d D s s J n F 1 b 3 Q 7 U 2 V j d G l v b j E v Q 0 9 P U C 9 B d X R v U m V t b 3 Z l Z E N v b H V t b n M x L n t O d W 1 i Z X I g b 2 Y g R E N z I C 0 g T G V 2 Z W w g N C w x N H 0 m c X V v d D s s J n F 1 b 3 Q 7 U 2 V j d G l v b j E v Q 0 9 P U C 9 B d X R v U m V t b 3 Z l Z E N v b H V t b n M x L n t M b 2 F k a W 5 n I F J h d G U s M T V 9 J n F 1 b 3 Q 7 L C Z x d W 9 0 O 1 N l Y 3 R p b 2 4 x L 0 N P T 1 A v Q X V 0 b 1 J l b W 9 2 Z W R D b 2 x 1 b W 5 z M S 5 7 U 3 l u Z X J n a W U s M T Z 9 J n F 1 b 3 Q 7 L C Z x d W 9 0 O 1 N l Y 3 R p b 2 4 x L 0 N P T 1 A v Q X V 0 b 1 J l b W 9 2 Z W R D b 2 x 1 b W 5 z M S 5 7 V H B z I F J V T i A s M T d 9 J n F 1 b 3 Q 7 L C Z x d W 9 0 O 1 N l Y 3 R p b 2 4 x L 0 N P T 1 A v Q X V 0 b 1 J l b W 9 2 Z W R D b 2 x 1 b W 5 z M S 5 7 R 0 F Q L D E 4 f S Z x d W 9 0 O y w m c X V v d D t T Z W N 0 a W 9 u M S 9 D T 0 9 Q L 0 F 1 d G 9 S Z W 1 v d m V k Q 2 9 s d W 1 u c z E u e 0 N P T 1 A g d n M g U 0 E g L D E 5 f S Z x d W 9 0 O 1 0 s J n F 1 b 3 Q 7 U m V s Y X R p b 2 5 z a G l w S W 5 m b y Z x d W 9 0 O z p b X X 0 i I C 8 + P E V u d H J 5 I F R 5 c G U 9 I k Z p b G x D b 2 x 1 b W 5 U e X B l c y I g V m F s d W U 9 I n N B d 0 1 E Q l F N R k J R V U Z C U U 1 E Q X d N Q U J R V U F B Q U E 9 I i A v P j x F b n R y e S B U e X B l P S J G a W x s Q 2 9 s d W 1 u T m F t Z X M i I F Z h b H V l P S J z W y Z x d W 9 0 O 0 1 h c C Z x d W 9 0 O y w m c X V v d D t D Y X A g K C U p J n F 1 b 3 Q 7 L C Z x d W 9 0 O 1 N j Z W 5 h c m l v J n F 1 b 3 Q 7 L C Z x d W 9 0 O 1 R v d G F s I E N v c 3 Q m c X V v d D s s J n F 1 b 3 Q 7 T 3 B l b m l u Z y B D b 3 N 0 J n F 1 b 3 Q 7 L C Z x d W 9 0 O 1 R y Y W 5 z c G 9 y d G F 0 a W 9 u I E N v c 3 Q m c X V v d D s s J n F 1 b 3 Q 7 U m V 0 Y W l s Z X I g U 3 R v Y 2 s g Q 2 9 z d C Z x d W 9 0 O y w m c X V v d D t E Q y B T d G 9 j a y B D b 3 N 0 J n F 1 b 3 Q 7 L C Z x d W 9 0 O 1 J l d G F p b G V y I F N h Z m V 0 e S B T d G 9 j a y B D b 3 N 0 J n F 1 b 3 Q 7 L C Z x d W 9 0 O 0 R D I F N h Z m V 0 e S B T d G 9 j a y B D b 3 N 0 J n F 1 b 3 Q 7 L C Z x d W 9 0 O 0 5 1 b W J l c i B v Z i B E Q 3 M m c X V v d D s s J n F 1 b 3 Q 7 T n V t Y m V y I G 9 m I E R D c y A t I E x l d m V s I D E m c X V v d D s s J n F 1 b 3 Q 7 T n V t Y m V y I G 9 m I E R D c y A t I E x l d m V s I D I m c X V v d D s s J n F 1 b 3 Q 7 T n V t Y m V y I G 9 m I E R D c y A t I E x l d m V s I D M m c X V v d D s s J n F 1 b 3 Q 7 T n V t Y m V y I G 9 m I E R D c y A t I E x l d m V s I D Q m c X V v d D s s J n F 1 b 3 Q 7 T G 9 h Z G l u Z y B S Y X R l J n F 1 b 3 Q 7 L C Z x d W 9 0 O 1 N 5 b m V y Z 2 l l J n F 1 b 3 Q 7 L C Z x d W 9 0 O 1 R w c y B S V U 4 g J n F 1 b 3 Q 7 L C Z x d W 9 0 O 0 d B U C Z x d W 9 0 O y w m c X V v d D t D T 0 9 Q I H Z z I F N B I C Z x d W 9 0 O 1 0 i I C 8 + P E V u d H J 5 I F R 5 c G U 9 I k Z p b G x U b 0 R h d G F N b 2 R l b E V u Y W J s Z W Q i I F Z h b H V l P S J s M C I g L z 4 8 R W 5 0 c n k g V H l w Z T 0 i R m l s b E x h c 3 R V c G R h d G V k I i B W Y W x 1 Z T 0 i Z D I w M j Y t M D c t M z F U M T Q 6 M j g 6 M z c u M T c y M T c 1 N F o i I C 8 + P E V u d H J 5 I F R 5 c G U 9 I k Z p b G x P Y m p l Y 3 R U e X B l I i B W Y W x 1 Z T 0 i c 1 R h Y m x l I i A v P j x F b n R y e S B U e X B l P S J G a W x s R X J y b 3 J D b 2 R l I i B W Y W x 1 Z T 0 i c 1 V u a 2 5 v d 2 4 i I C 8 + P E V u d H J 5 I F R 5 c G U 9 I k Z p b G x D b 3 V u d C I g V m F s d W U 9 I m w y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N P T 1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J l Y j Q 1 Y z B j L T k w Z T Y t N D h h Y S 0 4 N D g 4 L T M 4 M G R h Y T N l N D c 4 M y I g L z 4 8 R W 5 0 c n k g V H l w Z T 0 i R m l s b F R h c m d l d C I g V m F s d W U 9 I n N T Q S I g L z 4 8 R W 5 0 c n k g V H l w Z T 0 i T G 9 h Z G V k V G 9 B b m F s e X N p c 1 N l c n Z p Y 2 V z I i B W Y W x 1 Z T 0 i b D A i I C 8 + P E V u d H J 5 I F R 5 c G U 9 I k Z p b G x D b 2 x 1 b W 5 O Y W 1 l c y I g V m F s d W U 9 I n N b J n F 1 b 3 Q 7 T W F w J n F 1 b 3 Q 7 L C Z x d W 9 0 O 0 N h c C A o J S k m c X V v d D s s J n F 1 b 3 Q 7 U 2 N l b m F y a W 8 m c X V v d D s s J n F 1 b 3 Q 7 V G 9 0 Y W w g Q 2 9 z d C Z x d W 9 0 O y w m c X V v d D t P c G V u a W 5 n I E N v c 3 Q m c X V v d D s s J n F 1 b 3 Q 7 V H J h b n N w b 3 J 0 Y X R p b 2 4 g Q 2 9 z d C Z x d W 9 0 O y w m c X V v d D t S Z X R h a W x l c i B T d G 9 j a y B D b 3 N 0 J n F 1 b 3 Q 7 L C Z x d W 9 0 O 0 R D I F N 0 b 2 N r I E N v c 3 Q m c X V v d D s s J n F 1 b 3 Q 7 U m V 0 Y W l s Z X I g U 2 F m Z X R 5 I F N 0 b 2 N r I E N v c 3 Q m c X V v d D s s J n F 1 b 3 Q 7 R E M g U 2 F m Z X R 5 I F N 0 b 2 N r I E N v c 3 Q m c X V v d D s s J n F 1 b 3 Q 7 T n V t Y m V y I G 9 m I E R D c y Z x d W 9 0 O y w m c X V v d D t O d W 1 i Z X I g b 2 Y g R E N z I C 0 g T G V 2 Z W w g M S Z x d W 9 0 O y w m c X V v d D t O d W 1 i Z X I g b 2 Y g R E N z I C 0 g T G V 2 Z W w g M i Z x d W 9 0 O y w m c X V v d D t O d W 1 i Z X I g b 2 Y g R E N z I C 0 g T G V 2 Z W w g M y Z x d W 9 0 O y w m c X V v d D t O d W 1 i Z X I g b 2 Y g R E N z I C 0 g T G V 2 Z W w g N C Z x d W 9 0 O y w m c X V v d D t M b 2 F k a W 5 n I F J h d G U m c X V v d D s s J n F 1 b 3 Q 7 U 3 l u Z X J n a W U m c X V v d D s s J n F 1 b 3 Q 7 V H B z I F J V T i A m c X V v d D s s J n F 1 b 3 Q 7 R 0 F Q J n F 1 b 3 Q 7 L C Z x d W 9 0 O 0 N P T 1 A g d n M g U 0 E g J n F 1 b 3 Q 7 X S I g L z 4 8 R W 5 0 c n k g V H l w Z T 0 i R m l s b E N v b H V t b l R 5 c G V z I i B W Y W x 1 Z T 0 i c 0 F 3 T U R C U U 1 G Q l F V R k J R T U R B d 0 1 B Q l F V Q U F B Q T 0 i I C 8 + P E V u d H J 5 I F R 5 c G U 9 I k Z p b G x M Y X N 0 V X B k Y X R l Z C I g V m F s d W U 9 I m Q y M D I 2 L T A 3 L T M x V D E 0 O j I 4 O j Q z L j A y M T Y w N z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E v Q X V 0 b 1 J l b W 9 2 Z W R D b 2 x 1 b W 5 z M S 5 7 T W F w L D B 9 J n F 1 b 3 Q 7 L C Z x d W 9 0 O 1 N l Y 3 R p b 2 4 x L 1 N B L 0 F 1 d G 9 S Z W 1 v d m V k Q 2 9 s d W 1 u c z E u e 0 N h c C A o J S k s M X 0 m c X V v d D s s J n F 1 b 3 Q 7 U 2 V j d G l v b j E v U 0 E v Q X V 0 b 1 J l b W 9 2 Z W R D b 2 x 1 b W 5 z M S 5 7 U 2 N l b m F y a W 8 s M n 0 m c X V v d D s s J n F 1 b 3 Q 7 U 2 V j d G l v b j E v U 0 E v Q X V 0 b 1 J l b W 9 2 Z W R D b 2 x 1 b W 5 z M S 5 7 V G 9 0 Y W w g Q 2 9 z d C w z f S Z x d W 9 0 O y w m c X V v d D t T Z W N 0 a W 9 u M S 9 T Q S 9 B d X R v U m V t b 3 Z l Z E N v b H V t b n M x L n t P c G V u a W 5 n I E N v c 3 Q s N H 0 m c X V v d D s s J n F 1 b 3 Q 7 U 2 V j d G l v b j E v U 0 E v Q X V 0 b 1 J l b W 9 2 Z W R D b 2 x 1 b W 5 z M S 5 7 V H J h b n N w b 3 J 0 Y X R p b 2 4 g Q 2 9 z d C w 1 f S Z x d W 9 0 O y w m c X V v d D t T Z W N 0 a W 9 u M S 9 T Q S 9 B d X R v U m V t b 3 Z l Z E N v b H V t b n M x L n t S Z X R h a W x l c i B T d G 9 j a y B D b 3 N 0 L D Z 9 J n F 1 b 3 Q 7 L C Z x d W 9 0 O 1 N l Y 3 R p b 2 4 x L 1 N B L 0 F 1 d G 9 S Z W 1 v d m V k Q 2 9 s d W 1 u c z E u e 0 R D I F N 0 b 2 N r I E N v c 3 Q s N 3 0 m c X V v d D s s J n F 1 b 3 Q 7 U 2 V j d G l v b j E v U 0 E v Q X V 0 b 1 J l b W 9 2 Z W R D b 2 x 1 b W 5 z M S 5 7 U m V 0 Y W l s Z X I g U 2 F m Z X R 5 I F N 0 b 2 N r I E N v c 3 Q s O H 0 m c X V v d D s s J n F 1 b 3 Q 7 U 2 V j d G l v b j E v U 0 E v Q X V 0 b 1 J l b W 9 2 Z W R D b 2 x 1 b W 5 z M S 5 7 R E M g U 2 F m Z X R 5 I F N 0 b 2 N r I E N v c 3 Q s O X 0 m c X V v d D s s J n F 1 b 3 Q 7 U 2 V j d G l v b j E v U 0 E v Q X V 0 b 1 J l b W 9 2 Z W R D b 2 x 1 b W 5 z M S 5 7 T n V t Y m V y I G 9 m I E R D c y w x M H 0 m c X V v d D s s J n F 1 b 3 Q 7 U 2 V j d G l v b j E v U 0 E v Q X V 0 b 1 J l b W 9 2 Z W R D b 2 x 1 b W 5 z M S 5 7 T n V t Y m V y I G 9 m I E R D c y A t I E x l d m V s I D E s M T F 9 J n F 1 b 3 Q 7 L C Z x d W 9 0 O 1 N l Y 3 R p b 2 4 x L 1 N B L 0 F 1 d G 9 S Z W 1 v d m V k Q 2 9 s d W 1 u c z E u e 0 5 1 b W J l c i B v Z i B E Q 3 M g L S B M Z X Z l b C A y L D E y f S Z x d W 9 0 O y w m c X V v d D t T Z W N 0 a W 9 u M S 9 T Q S 9 B d X R v U m V t b 3 Z l Z E N v b H V t b n M x L n t O d W 1 i Z X I g b 2 Y g R E N z I C 0 g T G V 2 Z W w g M y w x M 3 0 m c X V v d D s s J n F 1 b 3 Q 7 U 2 V j d G l v b j E v U 0 E v Q X V 0 b 1 J l b W 9 2 Z W R D b 2 x 1 b W 5 z M S 5 7 T n V t Y m V y I G 9 m I E R D c y A t I E x l d m V s I D Q s M T R 9 J n F 1 b 3 Q 7 L C Z x d W 9 0 O 1 N l Y 3 R p b 2 4 x L 1 N B L 0 F 1 d G 9 S Z W 1 v d m V k Q 2 9 s d W 1 u c z E u e 0 x v Y W R p b m c g U m F 0 Z S w x N X 0 m c X V v d D s s J n F 1 b 3 Q 7 U 2 V j d G l v b j E v U 0 E v Q X V 0 b 1 J l b W 9 2 Z W R D b 2 x 1 b W 5 z M S 5 7 U 3 l u Z X J n a W U s M T Z 9 J n F 1 b 3 Q 7 L C Z x d W 9 0 O 1 N l Y 3 R p b 2 4 x L 1 N B L 0 F 1 d G 9 S Z W 1 v d m V k Q 2 9 s d W 1 u c z E u e 1 R w c y B S V U 4 g L D E 3 f S Z x d W 9 0 O y w m c X V v d D t T Z W N 0 a W 9 u M S 9 T Q S 9 B d X R v U m V t b 3 Z l Z E N v b H V t b n M x L n t H Q V A s M T h 9 J n F 1 b 3 Q 7 L C Z x d W 9 0 O 1 N l Y 3 R p b 2 4 x L 1 N B L 0 F 1 d G 9 S Z W 1 v d m V k Q 2 9 s d W 1 u c z E u e 0 N P T 1 A g d n M g U 0 E g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U 0 E v Q X V 0 b 1 J l b W 9 2 Z W R D b 2 x 1 b W 5 z M S 5 7 T W F w L D B 9 J n F 1 b 3 Q 7 L C Z x d W 9 0 O 1 N l Y 3 R p b 2 4 x L 1 N B L 0 F 1 d G 9 S Z W 1 v d m V k Q 2 9 s d W 1 u c z E u e 0 N h c C A o J S k s M X 0 m c X V v d D s s J n F 1 b 3 Q 7 U 2 V j d G l v b j E v U 0 E v Q X V 0 b 1 J l b W 9 2 Z W R D b 2 x 1 b W 5 z M S 5 7 U 2 N l b m F y a W 8 s M n 0 m c X V v d D s s J n F 1 b 3 Q 7 U 2 V j d G l v b j E v U 0 E v Q X V 0 b 1 J l b W 9 2 Z W R D b 2 x 1 b W 5 z M S 5 7 V G 9 0 Y W w g Q 2 9 z d C w z f S Z x d W 9 0 O y w m c X V v d D t T Z W N 0 a W 9 u M S 9 T Q S 9 B d X R v U m V t b 3 Z l Z E N v b H V t b n M x L n t P c G V u a W 5 n I E N v c 3 Q s N H 0 m c X V v d D s s J n F 1 b 3 Q 7 U 2 V j d G l v b j E v U 0 E v Q X V 0 b 1 J l b W 9 2 Z W R D b 2 x 1 b W 5 z M S 5 7 V H J h b n N w b 3 J 0 Y X R p b 2 4 g Q 2 9 z d C w 1 f S Z x d W 9 0 O y w m c X V v d D t T Z W N 0 a W 9 u M S 9 T Q S 9 B d X R v U m V t b 3 Z l Z E N v b H V t b n M x L n t S Z X R h a W x l c i B T d G 9 j a y B D b 3 N 0 L D Z 9 J n F 1 b 3 Q 7 L C Z x d W 9 0 O 1 N l Y 3 R p b 2 4 x L 1 N B L 0 F 1 d G 9 S Z W 1 v d m V k Q 2 9 s d W 1 u c z E u e 0 R D I F N 0 b 2 N r I E N v c 3 Q s N 3 0 m c X V v d D s s J n F 1 b 3 Q 7 U 2 V j d G l v b j E v U 0 E v Q X V 0 b 1 J l b W 9 2 Z W R D b 2 x 1 b W 5 z M S 5 7 U m V 0 Y W l s Z X I g U 2 F m Z X R 5 I F N 0 b 2 N r I E N v c 3 Q s O H 0 m c X V v d D s s J n F 1 b 3 Q 7 U 2 V j d G l v b j E v U 0 E v Q X V 0 b 1 J l b W 9 2 Z W R D b 2 x 1 b W 5 z M S 5 7 R E M g U 2 F m Z X R 5 I F N 0 b 2 N r I E N v c 3 Q s O X 0 m c X V v d D s s J n F 1 b 3 Q 7 U 2 V j d G l v b j E v U 0 E v Q X V 0 b 1 J l b W 9 2 Z W R D b 2 x 1 b W 5 z M S 5 7 T n V t Y m V y I G 9 m I E R D c y w x M H 0 m c X V v d D s s J n F 1 b 3 Q 7 U 2 V j d G l v b j E v U 0 E v Q X V 0 b 1 J l b W 9 2 Z W R D b 2 x 1 b W 5 z M S 5 7 T n V t Y m V y I G 9 m I E R D c y A t I E x l d m V s I D E s M T F 9 J n F 1 b 3 Q 7 L C Z x d W 9 0 O 1 N l Y 3 R p b 2 4 x L 1 N B L 0 F 1 d G 9 S Z W 1 v d m V k Q 2 9 s d W 1 u c z E u e 0 5 1 b W J l c i B v Z i B E Q 3 M g L S B M Z X Z l b C A y L D E y f S Z x d W 9 0 O y w m c X V v d D t T Z W N 0 a W 9 u M S 9 T Q S 9 B d X R v U m V t b 3 Z l Z E N v b H V t b n M x L n t O d W 1 i Z X I g b 2 Y g R E N z I C 0 g T G V 2 Z W w g M y w x M 3 0 m c X V v d D s s J n F 1 b 3 Q 7 U 2 V j d G l v b j E v U 0 E v Q X V 0 b 1 J l b W 9 2 Z W R D b 2 x 1 b W 5 z M S 5 7 T n V t Y m V y I G 9 m I E R D c y A t I E x l d m V s I D Q s M T R 9 J n F 1 b 3 Q 7 L C Z x d W 9 0 O 1 N l Y 3 R p b 2 4 x L 1 N B L 0 F 1 d G 9 S Z W 1 v d m V k Q 2 9 s d W 1 u c z E u e 0 x v Y W R p b m c g U m F 0 Z S w x N X 0 m c X V v d D s s J n F 1 b 3 Q 7 U 2 V j d G l v b j E v U 0 E v Q X V 0 b 1 J l b W 9 2 Z W R D b 2 x 1 b W 5 z M S 5 7 U 3 l u Z X J n a W U s M T Z 9 J n F 1 b 3 Q 7 L C Z x d W 9 0 O 1 N l Y 3 R p b 2 4 x L 1 N B L 0 F 1 d G 9 S Z W 1 v d m V k Q 2 9 s d W 1 u c z E u e 1 R w c y B S V U 4 g L D E 3 f S Z x d W 9 0 O y w m c X V v d D t T Z W N 0 a W 9 u M S 9 T Q S 9 B d X R v U m V t b 3 Z l Z E N v b H V t b n M x L n t H Q V A s M T h 9 J n F 1 b 3 Q 7 L C Z x d W 9 0 O 1 N l Y 3 R p b 2 4 x L 1 N B L 0 F 1 d G 9 S Z W 1 v d m V k Q 2 9 s d W 1 u c z E u e 0 N P T 1 A g d n M g U 0 E g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E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T 0 9 Q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h N T A x O T c z L W I z N j U t N G Y 4 Y S 1 i Z G Y x L W I 5 O D d i O D d h O W Q 1 Y i I g L z 4 8 R W 5 0 c n k g V H l w Z T 0 i R m l s b F R h c m d l d C I g V m F s d W U 9 I n N T Q V 8 1 I i A v P j x F b n R y e S B U e X B l P S J M b 2 F k Z W R U b 0 F u Y W x 5 c 2 l z U 2 V y d m l j Z X M i I F Z h b H V l P S J s M C I g L z 4 8 R W 5 0 c n k g V H l w Z T 0 i R m l s b E N v b H V t b l R 5 c G V z I i B W Y W x 1 Z T 0 i c 0 F 3 T U R C U U 1 G Q l F V R k J R T U R B d 0 1 B Q l F V Q U F B Q T 0 i I C 8 + P E V u d H J 5 I F R 5 c G U 9 I k Z p b G x M Y X N 0 V X B k Y X R l Z C I g V m F s d W U 9 I m Q y M D I 2 L T A 3 L T M x V D E 0 O j M y O j U 1 L j A y N D I 1 M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N Y X A m c X V v d D s s J n F 1 b 3 Q 7 Q 2 F w I C g l K S Z x d W 9 0 O y w m c X V v d D t T Y 2 V u Y X J p b y Z x d W 9 0 O y w m c X V v d D t U b 3 R h b C B D b 3 N 0 J n F 1 b 3 Q 7 L C Z x d W 9 0 O 0 9 w Z W 5 p b m c g Q 2 9 z d C Z x d W 9 0 O y w m c X V v d D t U c m F u c 3 B v c n R h d G l v b i B D b 3 N 0 J n F 1 b 3 Q 7 L C Z x d W 9 0 O 1 J l d G F p b G V y I F N 0 b 2 N r I E N v c 3 Q m c X V v d D s s J n F 1 b 3 Q 7 R E M g U 3 R v Y 2 s g Q 2 9 z d C Z x d W 9 0 O y w m c X V v d D t S Z X R h a W x l c i B T Y W Z l d H k g U 3 R v Y 2 s g Q 2 9 z d C Z x d W 9 0 O y w m c X V v d D t E Q y B T Y W Z l d H k g U 3 R v Y 2 s g Q 2 9 z d C Z x d W 9 0 O y w m c X V v d D t O d W 1 i Z X I g b 2 Y g R E N z J n F 1 b 3 Q 7 L C Z x d W 9 0 O 0 5 1 b W J l c i B v Z i B E Q 3 M g L S B M Z X Z l b C A x J n F 1 b 3 Q 7 L C Z x d W 9 0 O 0 5 1 b W J l c i B v Z i B E Q 3 M g L S B M Z X Z l b C A y J n F 1 b 3 Q 7 L C Z x d W 9 0 O 0 5 1 b W J l c i B v Z i B E Q 3 M g L S B M Z X Z l b C A z J n F 1 b 3 Q 7 L C Z x d W 9 0 O 0 5 1 b W J l c i B v Z i B E Q 3 M g L S B M Z X Z l b C A 0 J n F 1 b 3 Q 7 L C Z x d W 9 0 O 0 x v Y W R p b m c g U m F 0 Z S Z x d W 9 0 O y w m c X V v d D t T e W 5 l c m d p Z S Z x d W 9 0 O y w m c X V v d D t U c H M g U l V O I C Z x d W 9 0 O y w m c X V v d D t H Q V A m c X V v d D s s J n F 1 b 3 Q 7 Q 0 9 P U C B 2 c y B T Q S A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Q S 9 B d X R v U m V t b 3 Z l Z E N v b H V t b n M x L n t N Y X A s M H 0 m c X V v d D s s J n F 1 b 3 Q 7 U 2 V j d G l v b j E v U 0 E v Q X V 0 b 1 J l b W 9 2 Z W R D b 2 x 1 b W 5 z M S 5 7 Q 2 F w I C g l K S w x f S Z x d W 9 0 O y w m c X V v d D t T Z W N 0 a W 9 u M S 9 T Q S 9 B d X R v U m V t b 3 Z l Z E N v b H V t b n M x L n t T Y 2 V u Y X J p b y w y f S Z x d W 9 0 O y w m c X V v d D t T Z W N 0 a W 9 u M S 9 T Q S 9 B d X R v U m V t b 3 Z l Z E N v b H V t b n M x L n t U b 3 R h b C B D b 3 N 0 L D N 9 J n F 1 b 3 Q 7 L C Z x d W 9 0 O 1 N l Y 3 R p b 2 4 x L 1 N B L 0 F 1 d G 9 S Z W 1 v d m V k Q 2 9 s d W 1 u c z E u e 0 9 w Z W 5 p b m c g Q 2 9 z d C w 0 f S Z x d W 9 0 O y w m c X V v d D t T Z W N 0 a W 9 u M S 9 T Q S 9 B d X R v U m V t b 3 Z l Z E N v b H V t b n M x L n t U c m F u c 3 B v c n R h d G l v b i B D b 3 N 0 L D V 9 J n F 1 b 3 Q 7 L C Z x d W 9 0 O 1 N l Y 3 R p b 2 4 x L 1 N B L 0 F 1 d G 9 S Z W 1 v d m V k Q 2 9 s d W 1 u c z E u e 1 J l d G F p b G V y I F N 0 b 2 N r I E N v c 3 Q s N n 0 m c X V v d D s s J n F 1 b 3 Q 7 U 2 V j d G l v b j E v U 0 E v Q X V 0 b 1 J l b W 9 2 Z W R D b 2 x 1 b W 5 z M S 5 7 R E M g U 3 R v Y 2 s g Q 2 9 z d C w 3 f S Z x d W 9 0 O y w m c X V v d D t T Z W N 0 a W 9 u M S 9 T Q S 9 B d X R v U m V t b 3 Z l Z E N v b H V t b n M x L n t S Z X R h a W x l c i B T Y W Z l d H k g U 3 R v Y 2 s g Q 2 9 z d C w 4 f S Z x d W 9 0 O y w m c X V v d D t T Z W N 0 a W 9 u M S 9 T Q S 9 B d X R v U m V t b 3 Z l Z E N v b H V t b n M x L n t E Q y B T Y W Z l d H k g U 3 R v Y 2 s g Q 2 9 z d C w 5 f S Z x d W 9 0 O y w m c X V v d D t T Z W N 0 a W 9 u M S 9 T Q S 9 B d X R v U m V t b 3 Z l Z E N v b H V t b n M x L n t O d W 1 i Z X I g b 2 Y g R E N z L D E w f S Z x d W 9 0 O y w m c X V v d D t T Z W N 0 a W 9 u M S 9 T Q S 9 B d X R v U m V t b 3 Z l Z E N v b H V t b n M x L n t O d W 1 i Z X I g b 2 Y g R E N z I C 0 g T G V 2 Z W w g M S w x M X 0 m c X V v d D s s J n F 1 b 3 Q 7 U 2 V j d G l v b j E v U 0 E v Q X V 0 b 1 J l b W 9 2 Z W R D b 2 x 1 b W 5 z M S 5 7 T n V t Y m V y I G 9 m I E R D c y A t I E x l d m V s I D I s M T J 9 J n F 1 b 3 Q 7 L C Z x d W 9 0 O 1 N l Y 3 R p b 2 4 x L 1 N B L 0 F 1 d G 9 S Z W 1 v d m V k Q 2 9 s d W 1 u c z E u e 0 5 1 b W J l c i B v Z i B E Q 3 M g L S B M Z X Z l b C A z L D E z f S Z x d W 9 0 O y w m c X V v d D t T Z W N 0 a W 9 u M S 9 T Q S 9 B d X R v U m V t b 3 Z l Z E N v b H V t b n M x L n t O d W 1 i Z X I g b 2 Y g R E N z I C 0 g T G V 2 Z W w g N C w x N H 0 m c X V v d D s s J n F 1 b 3 Q 7 U 2 V j d G l v b j E v U 0 E v Q X V 0 b 1 J l b W 9 2 Z W R D b 2 x 1 b W 5 z M S 5 7 T G 9 h Z G l u Z y B S Y X R l L D E 1 f S Z x d W 9 0 O y w m c X V v d D t T Z W N 0 a W 9 u M S 9 T Q S 9 B d X R v U m V t b 3 Z l Z E N v b H V t b n M x L n t T e W 5 l c m d p Z S w x N n 0 m c X V v d D s s J n F 1 b 3 Q 7 U 2 V j d G l v b j E v U 0 E v Q X V 0 b 1 J l b W 9 2 Z W R D b 2 x 1 b W 5 z M S 5 7 V H B z I F J V T i A s M T d 9 J n F 1 b 3 Q 7 L C Z x d W 9 0 O 1 N l Y 3 R p b 2 4 x L 1 N B L 0 F 1 d G 9 S Z W 1 v d m V k Q 2 9 s d W 1 u c z E u e 0 d B U C w x O H 0 m c X V v d D s s J n F 1 b 3 Q 7 U 2 V j d G l v b j E v U 0 E v Q X V 0 b 1 J l b W 9 2 Z W R D b 2 x 1 b W 5 z M S 5 7 Q 0 9 P U C B 2 c y B T Q S A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T Q S 9 B d X R v U m V t b 3 Z l Z E N v b H V t b n M x L n t N Y X A s M H 0 m c X V v d D s s J n F 1 b 3 Q 7 U 2 V j d G l v b j E v U 0 E v Q X V 0 b 1 J l b W 9 2 Z W R D b 2 x 1 b W 5 z M S 5 7 Q 2 F w I C g l K S w x f S Z x d W 9 0 O y w m c X V v d D t T Z W N 0 a W 9 u M S 9 T Q S 9 B d X R v U m V t b 3 Z l Z E N v b H V t b n M x L n t T Y 2 V u Y X J p b y w y f S Z x d W 9 0 O y w m c X V v d D t T Z W N 0 a W 9 u M S 9 T Q S 9 B d X R v U m V t b 3 Z l Z E N v b H V t b n M x L n t U b 3 R h b C B D b 3 N 0 L D N 9 J n F 1 b 3 Q 7 L C Z x d W 9 0 O 1 N l Y 3 R p b 2 4 x L 1 N B L 0 F 1 d G 9 S Z W 1 v d m V k Q 2 9 s d W 1 u c z E u e 0 9 w Z W 5 p b m c g Q 2 9 z d C w 0 f S Z x d W 9 0 O y w m c X V v d D t T Z W N 0 a W 9 u M S 9 T Q S 9 B d X R v U m V t b 3 Z l Z E N v b H V t b n M x L n t U c m F u c 3 B v c n R h d G l v b i B D b 3 N 0 L D V 9 J n F 1 b 3 Q 7 L C Z x d W 9 0 O 1 N l Y 3 R p b 2 4 x L 1 N B L 0 F 1 d G 9 S Z W 1 v d m V k Q 2 9 s d W 1 u c z E u e 1 J l d G F p b G V y I F N 0 b 2 N r I E N v c 3 Q s N n 0 m c X V v d D s s J n F 1 b 3 Q 7 U 2 V j d G l v b j E v U 0 E v Q X V 0 b 1 J l b W 9 2 Z W R D b 2 x 1 b W 5 z M S 5 7 R E M g U 3 R v Y 2 s g Q 2 9 z d C w 3 f S Z x d W 9 0 O y w m c X V v d D t T Z W N 0 a W 9 u M S 9 T Q S 9 B d X R v U m V t b 3 Z l Z E N v b H V t b n M x L n t S Z X R h a W x l c i B T Y W Z l d H k g U 3 R v Y 2 s g Q 2 9 z d C w 4 f S Z x d W 9 0 O y w m c X V v d D t T Z W N 0 a W 9 u M S 9 T Q S 9 B d X R v U m V t b 3 Z l Z E N v b H V t b n M x L n t E Q y B T Y W Z l d H k g U 3 R v Y 2 s g Q 2 9 z d C w 5 f S Z x d W 9 0 O y w m c X V v d D t T Z W N 0 a W 9 u M S 9 T Q S 9 B d X R v U m V t b 3 Z l Z E N v b H V t b n M x L n t O d W 1 i Z X I g b 2 Y g R E N z L D E w f S Z x d W 9 0 O y w m c X V v d D t T Z W N 0 a W 9 u M S 9 T Q S 9 B d X R v U m V t b 3 Z l Z E N v b H V t b n M x L n t O d W 1 i Z X I g b 2 Y g R E N z I C 0 g T G V 2 Z W w g M S w x M X 0 m c X V v d D s s J n F 1 b 3 Q 7 U 2 V j d G l v b j E v U 0 E v Q X V 0 b 1 J l b W 9 2 Z W R D b 2 x 1 b W 5 z M S 5 7 T n V t Y m V y I G 9 m I E R D c y A t I E x l d m V s I D I s M T J 9 J n F 1 b 3 Q 7 L C Z x d W 9 0 O 1 N l Y 3 R p b 2 4 x L 1 N B L 0 F 1 d G 9 S Z W 1 v d m V k Q 2 9 s d W 1 u c z E u e 0 5 1 b W J l c i B v Z i B E Q 3 M g L S B M Z X Z l b C A z L D E z f S Z x d W 9 0 O y w m c X V v d D t T Z W N 0 a W 9 u M S 9 T Q S 9 B d X R v U m V t b 3 Z l Z E N v b H V t b n M x L n t O d W 1 i Z X I g b 2 Y g R E N z I C 0 g T G V 2 Z W w g N C w x N H 0 m c X V v d D s s J n F 1 b 3 Q 7 U 2 V j d G l v b j E v U 0 E v Q X V 0 b 1 J l b W 9 2 Z W R D b 2 x 1 b W 5 z M S 5 7 T G 9 h Z G l u Z y B S Y X R l L D E 1 f S Z x d W 9 0 O y w m c X V v d D t T Z W N 0 a W 9 u M S 9 T Q S 9 B d X R v U m V t b 3 Z l Z E N v b H V t b n M x L n t T e W 5 l c m d p Z S w x N n 0 m c X V v d D s s J n F 1 b 3 Q 7 U 2 V j d G l v b j E v U 0 E v Q X V 0 b 1 J l b W 9 2 Z W R D b 2 x 1 b W 5 z M S 5 7 V H B z I F J V T i A s M T d 9 J n F 1 b 3 Q 7 L C Z x d W 9 0 O 1 N l Y 3 R p b 2 4 x L 1 N B L 0 F 1 d G 9 S Z W 1 v d m V k Q 2 9 s d W 1 u c z E u e 0 d B U C w x O H 0 m c X V v d D s s J n F 1 b 3 Q 7 U 2 V j d G l v b j E v U 0 E v Q X V 0 b 1 J l b W 9 2 Z W R D b 2 x 1 b W 5 z M S 5 7 Q 0 9 P U C B 2 c y B T Q S A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Q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S U y M C g y K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E l M j A o M i k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E l M j A o M i k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1 A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M W E y M j A w M C 1 h M G Z i L T R l N z Q t Y m U 4 N i 0 3 M m J i N W V i Y j k 4 M j g i I C 8 + P E V u d H J 5 I F R 5 c G U 9 I k Z p b G x F b m F i b G V k I i B W Y W x 1 Z T 0 i b D E i I C 8 + P E V u d H J 5 I F R 5 c G U 9 I k Z p b G x F c n J v c k N v d W 5 0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N P T 1 A 2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T W F w J n F 1 b 3 Q 7 L C Z x d W 9 0 O 0 N h c C A o J S k m c X V v d D s s J n F 1 b 3 Q 7 U 2 N l b m F y a W 8 m c X V v d D s s J n F 1 b 3 Q 7 V G 9 0 Y W w g Q 2 9 z d C Z x d W 9 0 O y w m c X V v d D t P c G V u a W 5 n I E N v c 3 Q m c X V v d D s s J n F 1 b 3 Q 7 V H J h b n N w b 3 J 0 Y X R p b 2 4 g Q 2 9 z d C Z x d W 9 0 O y w m c X V v d D t S Z X R h a W x l c i B T d G 9 j a y B D b 3 N 0 J n F 1 b 3 Q 7 L C Z x d W 9 0 O 0 R D I F N 0 b 2 N r I E N v c 3 Q m c X V v d D s s J n F 1 b 3 Q 7 U m V 0 Y W l s Z X I g U 2 F m Z X R 5 I F N 0 b 2 N r I E N v c 3 Q m c X V v d D s s J n F 1 b 3 Q 7 R E M g U 2 F m Z X R 5 I F N 0 b 2 N r I E N v c 3 Q m c X V v d D s s J n F 1 b 3 Q 7 T n V t Y m V y I G 9 m I E R D c y Z x d W 9 0 O y w m c X V v d D t O d W 1 i Z X I g b 2 Y g R E N z I C 0 g T G V 2 Z W w g M S Z x d W 9 0 O y w m c X V v d D t O d W 1 i Z X I g b 2 Y g R E N z I C 0 g T G V 2 Z W w g M i Z x d W 9 0 O y w m c X V v d D t O d W 1 i Z X I g b 2 Y g R E N z I C 0 g T G V 2 Z W w g M y Z x d W 9 0 O y w m c X V v d D t O d W 1 i Z X I g b 2 Y g R E N z I C 0 g T G V 2 Z W w g N C Z x d W 9 0 O y w m c X V v d D t M b 2 F k a W 5 n I F J h d G U m c X V v d D s s J n F 1 b 3 Q 7 U 3 l u Z X J n a W U m c X V v d D s s J n F 1 b 3 Q 7 V H B z I F J V T i A m c X V v d D s s J n F 1 b 3 Q 7 R 0 F Q J n F 1 b 3 Q 7 L C Z x d W 9 0 O 0 N P T 1 A g d n M g U 0 E g J n F 1 b 3 Q 7 X S I g L z 4 8 R W 5 0 c n k g V H l w Z T 0 i R m l s b F N 0 Y X R 1 c y I g V m F s d W U 9 I n N D b 2 1 w b G V 0 Z S I g L z 4 8 R W 5 0 c n k g V H l w Z T 0 i R m l s b E x h c 3 R V c G R h d G V k I i B W Y W x 1 Z T 0 i Z D I w M j Y t M D c t M z F U M T Q 6 M z I 6 N D E u O T M 1 N j E 0 N 1 o i I C 8 + P E V u d H J 5 I F R 5 c G U 9 I k Z p b G x D b 2 x 1 b W 5 U e X B l c y I g V m F s d W U 9 I n N B d 0 1 E Q l F N R k J R V U Z C U U 1 E Q X d N Q U J R V U F B Q U E 9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2 R l I i B W Y W x 1 Z T 0 i c 1 V u a 2 5 v d 2 4 i I C 8 + P E V u d H J 5 I F R 5 c G U 9 I k Z p b G x D b 3 V u d C I g V m F s d W U 9 I m w y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9 P U C 9 B d X R v U m V t b 3 Z l Z E N v b H V t b n M x L n t N Y X A s M H 0 m c X V v d D s s J n F 1 b 3 Q 7 U 2 V j d G l v b j E v Q 0 9 P U C 9 B d X R v U m V t b 3 Z l Z E N v b H V t b n M x L n t D Y X A g K C U p L D F 9 J n F 1 b 3 Q 7 L C Z x d W 9 0 O 1 N l Y 3 R p b 2 4 x L 0 N P T 1 A v Q X V 0 b 1 J l b W 9 2 Z W R D b 2 x 1 b W 5 z M S 5 7 U 2 N l b m F y a W 8 s M n 0 m c X V v d D s s J n F 1 b 3 Q 7 U 2 V j d G l v b j E v Q 0 9 P U C 9 B d X R v U m V t b 3 Z l Z E N v b H V t b n M x L n t U b 3 R h b C B D b 3 N 0 L D N 9 J n F 1 b 3 Q 7 L C Z x d W 9 0 O 1 N l Y 3 R p b 2 4 x L 0 N P T 1 A v Q X V 0 b 1 J l b W 9 2 Z W R D b 2 x 1 b W 5 z M S 5 7 T 3 B l b m l u Z y B D b 3 N 0 L D R 9 J n F 1 b 3 Q 7 L C Z x d W 9 0 O 1 N l Y 3 R p b 2 4 x L 0 N P T 1 A v Q X V 0 b 1 J l b W 9 2 Z W R D b 2 x 1 b W 5 z M S 5 7 V H J h b n N w b 3 J 0 Y X R p b 2 4 g Q 2 9 z d C w 1 f S Z x d W 9 0 O y w m c X V v d D t T Z W N 0 a W 9 u M S 9 D T 0 9 Q L 0 F 1 d G 9 S Z W 1 v d m V k Q 2 9 s d W 1 u c z E u e 1 J l d G F p b G V y I F N 0 b 2 N r I E N v c 3 Q s N n 0 m c X V v d D s s J n F 1 b 3 Q 7 U 2 V j d G l v b j E v Q 0 9 P U C 9 B d X R v U m V t b 3 Z l Z E N v b H V t b n M x L n t E Q y B T d G 9 j a y B D b 3 N 0 L D d 9 J n F 1 b 3 Q 7 L C Z x d W 9 0 O 1 N l Y 3 R p b 2 4 x L 0 N P T 1 A v Q X V 0 b 1 J l b W 9 2 Z W R D b 2 x 1 b W 5 z M S 5 7 U m V 0 Y W l s Z X I g U 2 F m Z X R 5 I F N 0 b 2 N r I E N v c 3 Q s O H 0 m c X V v d D s s J n F 1 b 3 Q 7 U 2 V j d G l v b j E v Q 0 9 P U C 9 B d X R v U m V t b 3 Z l Z E N v b H V t b n M x L n t E Q y B T Y W Z l d H k g U 3 R v Y 2 s g Q 2 9 z d C w 5 f S Z x d W 9 0 O y w m c X V v d D t T Z W N 0 a W 9 u M S 9 D T 0 9 Q L 0 F 1 d G 9 S Z W 1 v d m V k Q 2 9 s d W 1 u c z E u e 0 5 1 b W J l c i B v Z i B E Q 3 M s M T B 9 J n F 1 b 3 Q 7 L C Z x d W 9 0 O 1 N l Y 3 R p b 2 4 x L 0 N P T 1 A v Q X V 0 b 1 J l b W 9 2 Z W R D b 2 x 1 b W 5 z M S 5 7 T n V t Y m V y I G 9 m I E R D c y A t I E x l d m V s I D E s M T F 9 J n F 1 b 3 Q 7 L C Z x d W 9 0 O 1 N l Y 3 R p b 2 4 x L 0 N P T 1 A v Q X V 0 b 1 J l b W 9 2 Z W R D b 2 x 1 b W 5 z M S 5 7 T n V t Y m V y I G 9 m I E R D c y A t I E x l d m V s I D I s M T J 9 J n F 1 b 3 Q 7 L C Z x d W 9 0 O 1 N l Y 3 R p b 2 4 x L 0 N P T 1 A v Q X V 0 b 1 J l b W 9 2 Z W R D b 2 x 1 b W 5 z M S 5 7 T n V t Y m V y I G 9 m I E R D c y A t I E x l d m V s I D M s M T N 9 J n F 1 b 3 Q 7 L C Z x d W 9 0 O 1 N l Y 3 R p b 2 4 x L 0 N P T 1 A v Q X V 0 b 1 J l b W 9 2 Z W R D b 2 x 1 b W 5 z M S 5 7 T n V t Y m V y I G 9 m I E R D c y A t I E x l d m V s I D Q s M T R 9 J n F 1 b 3 Q 7 L C Z x d W 9 0 O 1 N l Y 3 R p b 2 4 x L 0 N P T 1 A v Q X V 0 b 1 J l b W 9 2 Z W R D b 2 x 1 b W 5 z M S 5 7 T G 9 h Z G l u Z y B S Y X R l L D E 1 f S Z x d W 9 0 O y w m c X V v d D t T Z W N 0 a W 9 u M S 9 D T 0 9 Q L 0 F 1 d G 9 S Z W 1 v d m V k Q 2 9 s d W 1 u c z E u e 1 N 5 b m V y Z 2 l l L D E 2 f S Z x d W 9 0 O y w m c X V v d D t T Z W N 0 a W 9 u M S 9 D T 0 9 Q L 0 F 1 d G 9 S Z W 1 v d m V k Q 2 9 s d W 1 u c z E u e 1 R w c y B S V U 4 g L D E 3 f S Z x d W 9 0 O y w m c X V v d D t T Z W N 0 a W 9 u M S 9 D T 0 9 Q L 0 F 1 d G 9 S Z W 1 v d m V k Q 2 9 s d W 1 u c z E u e 0 d B U C w x O H 0 m c X V v d D s s J n F 1 b 3 Q 7 U 2 V j d G l v b j E v Q 0 9 P U C 9 B d X R v U m V t b 3 Z l Z E N v b H V t b n M x L n t D T 0 9 Q I H Z z I F N B I C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N P T 1 A v Q X V 0 b 1 J l b W 9 2 Z W R D b 2 x 1 b W 5 z M S 5 7 T W F w L D B 9 J n F 1 b 3 Q 7 L C Z x d W 9 0 O 1 N l Y 3 R p b 2 4 x L 0 N P T 1 A v Q X V 0 b 1 J l b W 9 2 Z W R D b 2 x 1 b W 5 z M S 5 7 Q 2 F w I C g l K S w x f S Z x d W 9 0 O y w m c X V v d D t T Z W N 0 a W 9 u M S 9 D T 0 9 Q L 0 F 1 d G 9 S Z W 1 v d m V k Q 2 9 s d W 1 u c z E u e 1 N j Z W 5 h c m l v L D J 9 J n F 1 b 3 Q 7 L C Z x d W 9 0 O 1 N l Y 3 R p b 2 4 x L 0 N P T 1 A v Q X V 0 b 1 J l b W 9 2 Z W R D b 2 x 1 b W 5 z M S 5 7 V G 9 0 Y W w g Q 2 9 z d C w z f S Z x d W 9 0 O y w m c X V v d D t T Z W N 0 a W 9 u M S 9 D T 0 9 Q L 0 F 1 d G 9 S Z W 1 v d m V k Q 2 9 s d W 1 u c z E u e 0 9 w Z W 5 p b m c g Q 2 9 z d C w 0 f S Z x d W 9 0 O y w m c X V v d D t T Z W N 0 a W 9 u M S 9 D T 0 9 Q L 0 F 1 d G 9 S Z W 1 v d m V k Q 2 9 s d W 1 u c z E u e 1 R y Y W 5 z c G 9 y d G F 0 a W 9 u I E N v c 3 Q s N X 0 m c X V v d D s s J n F 1 b 3 Q 7 U 2 V j d G l v b j E v Q 0 9 P U C 9 B d X R v U m V t b 3 Z l Z E N v b H V t b n M x L n t S Z X R h a W x l c i B T d G 9 j a y B D b 3 N 0 L D Z 9 J n F 1 b 3 Q 7 L C Z x d W 9 0 O 1 N l Y 3 R p b 2 4 x L 0 N P T 1 A v Q X V 0 b 1 J l b W 9 2 Z W R D b 2 x 1 b W 5 z M S 5 7 R E M g U 3 R v Y 2 s g Q 2 9 z d C w 3 f S Z x d W 9 0 O y w m c X V v d D t T Z W N 0 a W 9 u M S 9 D T 0 9 Q L 0 F 1 d G 9 S Z W 1 v d m V k Q 2 9 s d W 1 u c z E u e 1 J l d G F p b G V y I F N h Z m V 0 e S B T d G 9 j a y B D b 3 N 0 L D h 9 J n F 1 b 3 Q 7 L C Z x d W 9 0 O 1 N l Y 3 R p b 2 4 x L 0 N P T 1 A v Q X V 0 b 1 J l b W 9 2 Z W R D b 2 x 1 b W 5 z M S 5 7 R E M g U 2 F m Z X R 5 I F N 0 b 2 N r I E N v c 3 Q s O X 0 m c X V v d D s s J n F 1 b 3 Q 7 U 2 V j d G l v b j E v Q 0 9 P U C 9 B d X R v U m V t b 3 Z l Z E N v b H V t b n M x L n t O d W 1 i Z X I g b 2 Y g R E N z L D E w f S Z x d W 9 0 O y w m c X V v d D t T Z W N 0 a W 9 u M S 9 D T 0 9 Q L 0 F 1 d G 9 S Z W 1 v d m V k Q 2 9 s d W 1 u c z E u e 0 5 1 b W J l c i B v Z i B E Q 3 M g L S B M Z X Z l b C A x L D E x f S Z x d W 9 0 O y w m c X V v d D t T Z W N 0 a W 9 u M S 9 D T 0 9 Q L 0 F 1 d G 9 S Z W 1 v d m V k Q 2 9 s d W 1 u c z E u e 0 5 1 b W J l c i B v Z i B E Q 3 M g L S B M Z X Z l b C A y L D E y f S Z x d W 9 0 O y w m c X V v d D t T Z W N 0 a W 9 u M S 9 D T 0 9 Q L 0 F 1 d G 9 S Z W 1 v d m V k Q 2 9 s d W 1 u c z E u e 0 5 1 b W J l c i B v Z i B E Q 3 M g L S B M Z X Z l b C A z L D E z f S Z x d W 9 0 O y w m c X V v d D t T Z W N 0 a W 9 u M S 9 D T 0 9 Q L 0 F 1 d G 9 S Z W 1 v d m V k Q 2 9 s d W 1 u c z E u e 0 5 1 b W J l c i B v Z i B E Q 3 M g L S B M Z X Z l b C A 0 L D E 0 f S Z x d W 9 0 O y w m c X V v d D t T Z W N 0 a W 9 u M S 9 D T 0 9 Q L 0 F 1 d G 9 S Z W 1 v d m V k Q 2 9 s d W 1 u c z E u e 0 x v Y W R p b m c g U m F 0 Z S w x N X 0 m c X V v d D s s J n F 1 b 3 Q 7 U 2 V j d G l v b j E v Q 0 9 P U C 9 B d X R v U m V t b 3 Z l Z E N v b H V t b n M x L n t T e W 5 l c m d p Z S w x N n 0 m c X V v d D s s J n F 1 b 3 Q 7 U 2 V j d G l v b j E v Q 0 9 P U C 9 B d X R v U m V t b 3 Z l Z E N v b H V t b n M x L n t U c H M g U l V O I C w x N 3 0 m c X V v d D s s J n F 1 b 3 Q 7 U 2 V j d G l v b j E v Q 0 9 P U C 9 B d X R v U m V t b 3 Z l Z E N v b H V t b n M x L n t H Q V A s M T h 9 J n F 1 b 3 Q 7 L C Z x d W 9 0 O 1 N l Y 3 R p b 2 4 x L 0 N P T 1 A v Q X V 0 b 1 J l b W 9 2 Z W R D b 2 x 1 b W 5 z M S 5 7 Q 0 9 P U C B 2 c y B T Q S A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T 0 9 Q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1 A l M j A o M i k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P T 1 A l M j A o M i k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9 P U C U y M C g y K S 9 M a W d u Z X M l M j B m a W x 0 c i V D M y V B O W V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M O g b V J 4 b J P g S + g y A 0 n o g 8 A A A A A A g A A A A A A E G Y A A A A B A A A g A A A A G 3 m o Q a t R S R 1 M 0 i b r s Q 7 Q t D A Q j n l X Q x c 5 c H e 1 w v M k 0 n 0 A A A A A D o A A A A A C A A A g A A A A d D Z 4 k D B C l Q b G b M N Z g e x N W x u 5 1 p I X Q l 8 F 1 5 u 5 5 s V A e g x Q A A A A / i / V + n b M v r i J z p L R p 9 L M h M Z C f J m q l e + Q B F f + Z q w 5 x V 3 p u Z / K 1 x F 0 9 + r k p V U Y S 9 d B Q n J v c Y X 4 I Z c Y P R t J V 2 1 V m b K p I v b A / V q G 7 d T d y 7 u 2 E P B A A A A A O A 6 A 4 0 n J W O / F N C 3 C K H E X / k y g s t m T k J E u e / J i l P I o Z 3 v K J 4 Y g b w A l 8 a / i g l Z U 0 w i S 6 s p a z F q f C 3 R K S A e / 9 4 a E C g = = < / D a t a M a s h u p > 
</file>

<file path=customXml/itemProps1.xml><?xml version="1.0" encoding="utf-8"?>
<ds:datastoreItem xmlns:ds="http://schemas.openxmlformats.org/officeDocument/2006/customXml" ds:itemID="{708B4EE9-08BA-45B3-AD6B-02B522E1473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SA_V1</vt:lpstr>
      <vt:lpstr>COOP_V1</vt:lpstr>
      <vt:lpstr>Paliers_V1</vt:lpstr>
      <vt:lpstr>CarteRéseau_V1</vt:lpstr>
      <vt:lpstr>SA_V2</vt:lpstr>
      <vt:lpstr>COOP_V2</vt:lpstr>
      <vt:lpstr>Paliers_V2</vt:lpstr>
      <vt:lpstr>CarteRéseau_V2</vt:lpstr>
    </vt:vector>
  </TitlesOfParts>
  <Company>UCLouvain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Livio Calcagno</dc:creator>
  <cp:lastModifiedBy>Livio Calcagno</cp:lastModifiedBy>
  <dcterms:created xsi:type="dcterms:W3CDTF">2026-05-22T08:46:42Z</dcterms:created>
  <dcterms:modified xsi:type="dcterms:W3CDTF">2026-08-03T18:42:55Z</dcterms:modified>
</cp:coreProperties>
</file>