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rate Estimation" sheetId="1" r:id="rId4"/>
    <sheet state="visible" name="CapacitéCompatibi" sheetId="2" r:id="rId5"/>
    <sheet state="visible" name="CorridorCanal capacity" sheetId="3" r:id="rId6"/>
    <sheet state="visible" name="Operating Cost" sheetId="4" r:id="rId7"/>
    <sheet state="visible" name="Distance" sheetId="5" r:id="rId8"/>
    <sheet state="visible" name="Demande" sheetId="6" r:id="rId9"/>
    <sheet state="visible" name="Corridors cost" sheetId="7" r:id="rId10"/>
  </sheets>
  <definedNames/>
  <calcPr/>
  <extLst>
    <ext uri="GoogleSheetsCustomDataVersion2">
      <go:sheetsCustomData xmlns:go="http://customooxmlschemas.google.com/" r:id="rId11" roundtripDataChecksum="5tvAkQHZQcX7NsK9DknVsjtpN/hNuy1gkUwlMfTbmcU="/>
    </ext>
  </extLst>
</workbook>
</file>

<file path=xl/sharedStrings.xml><?xml version="1.0" encoding="utf-8"?>
<sst xmlns="http://schemas.openxmlformats.org/spreadsheetml/2006/main" count="222" uniqueCount="194">
  <si>
    <t xml:space="preserve"> Approximation de a et k</t>
  </si>
  <si>
    <t>TEU</t>
  </si>
  <si>
    <t>Cons20</t>
  </si>
  <si>
    <t>LOG_TEU</t>
  </si>
  <si>
    <t>Log_conso</t>
  </si>
  <si>
    <t>a</t>
  </si>
  <si>
    <t>ln(k)</t>
  </si>
  <si>
    <t>k</t>
  </si>
  <si>
    <t>R^2</t>
  </si>
  <si>
    <t>conso_20(T/jour)</t>
  </si>
  <si>
    <t>Cons(t/jour) à speed</t>
  </si>
  <si>
    <t>BurnRate(tonnes/nm)</t>
  </si>
  <si>
    <t>Capacity and Compatabilité</t>
  </si>
  <si>
    <t>Capacity ports</t>
  </si>
  <si>
    <t>Vessels type</t>
  </si>
  <si>
    <t>TEU/year</t>
  </si>
  <si>
    <t>Jacksonville</t>
  </si>
  <si>
    <t>11 923</t>
  </si>
  <si>
    <t>Baltimore</t>
  </si>
  <si>
    <t>14 354</t>
  </si>
  <si>
    <t>New-York</t>
  </si>
  <si>
    <t>16 022</t>
  </si>
  <si>
    <t>Mobile</t>
  </si>
  <si>
    <t>11 356</t>
  </si>
  <si>
    <t>Houston</t>
  </si>
  <si>
    <t>11 010</t>
  </si>
  <si>
    <t>Tampa</t>
  </si>
  <si>
    <t>9 162</t>
  </si>
  <si>
    <t>Miami</t>
  </si>
  <si>
    <t>15 363</t>
  </si>
  <si>
    <t>Freeport</t>
  </si>
  <si>
    <t>4 389</t>
  </si>
  <si>
    <t>Cartagena</t>
  </si>
  <si>
    <t>Charleston</t>
  </si>
  <si>
    <t>Savannah</t>
  </si>
  <si>
    <t>Norfolk</t>
  </si>
  <si>
    <t>Boston</t>
  </si>
  <si>
    <t>14 568</t>
  </si>
  <si>
    <t>Cristobal</t>
  </si>
  <si>
    <t>Caucedo</t>
  </si>
  <si>
    <t>Pecem</t>
  </si>
  <si>
    <t>Suape</t>
  </si>
  <si>
    <t>Salvador</t>
  </si>
  <si>
    <t xml:space="preserve">Long Beach </t>
  </si>
  <si>
    <t>20 038</t>
  </si>
  <si>
    <t>Manzanillo</t>
  </si>
  <si>
    <t>Balboa</t>
  </si>
  <si>
    <t xml:space="preserve">Colon </t>
  </si>
  <si>
    <t xml:space="preserve">Salina Cruz </t>
  </si>
  <si>
    <t>Coatzacoalcos</t>
  </si>
  <si>
    <t>Quetzal</t>
  </si>
  <si>
    <t>Cortés</t>
  </si>
  <si>
    <t xml:space="preserve">Busan </t>
  </si>
  <si>
    <t xml:space="preserve">Kingston </t>
  </si>
  <si>
    <t>Lazaro Cardenas</t>
  </si>
  <si>
    <t>Canal capacity</t>
  </si>
  <si>
    <t xml:space="preserve"> Vessels/day</t>
  </si>
  <si>
    <t xml:space="preserve"> Vessels/week</t>
  </si>
  <si>
    <t>Vessels/week/way</t>
  </si>
  <si>
    <t>Vessels/week/way/China</t>
  </si>
  <si>
    <t>Panamax</t>
  </si>
  <si>
    <t>Neo-Panamax</t>
  </si>
  <si>
    <t>%</t>
  </si>
  <si>
    <t>% Containers</t>
  </si>
  <si>
    <t>Nb TEU</t>
  </si>
  <si>
    <t>Total</t>
  </si>
  <si>
    <t>Corridors capacity</t>
  </si>
  <si>
    <t xml:space="preserve">Panama </t>
  </si>
  <si>
    <t>Mexico</t>
  </si>
  <si>
    <t>Guatemala</t>
  </si>
  <si>
    <t>Distance (km)</t>
  </si>
  <si>
    <t>Crossing points</t>
  </si>
  <si>
    <t>Average distance between blocks</t>
  </si>
  <si>
    <t>Average speed (km/h)</t>
  </si>
  <si>
    <t>Bloc time (hours)</t>
  </si>
  <si>
    <t>Trains/day</t>
  </si>
  <si>
    <t>Headyway (hours)</t>
  </si>
  <si>
    <t>3,2-4,5</t>
  </si>
  <si>
    <t>Travel time (hours)</t>
  </si>
  <si>
    <t>Operating ratio k</t>
  </si>
  <si>
    <t>2,5-3,5</t>
  </si>
  <si>
    <t>Train capacity (TEU)</t>
  </si>
  <si>
    <t>Total capacity (one way)</t>
  </si>
  <si>
    <t>Total capacity (two ways)</t>
  </si>
  <si>
    <t>Capacity/one way/week</t>
  </si>
  <si>
    <t>Operating cost: Approximation parameters</t>
  </si>
  <si>
    <t>TEU_ref</t>
  </si>
  <si>
    <t>Cost_day_ref</t>
  </si>
  <si>
    <t>LnTEU</t>
  </si>
  <si>
    <t>LnCost</t>
  </si>
  <si>
    <t>Beta</t>
  </si>
  <si>
    <t>ln(gamma)</t>
  </si>
  <si>
    <t>gamma</t>
  </si>
  <si>
    <t>Operating Cost per day</t>
  </si>
  <si>
    <t>Operating Cost per dist</t>
  </si>
  <si>
    <t>Scénario</t>
  </si>
  <si>
    <t>(c^{load})</t>
  </si>
  <si>
    <t>(c^{unload})</t>
  </si>
  <si>
    <t>(c^{trans})</t>
  </si>
  <si>
    <t>LOW</t>
  </si>
  <si>
    <t>MID</t>
  </si>
  <si>
    <t>HIGH</t>
  </si>
  <si>
    <t xml:space="preserve">distance </t>
  </si>
  <si>
    <t>Empire</t>
  </si>
  <si>
    <t>Lone star</t>
  </si>
  <si>
    <t>Santana</t>
  </si>
  <si>
    <t>Amberjack</t>
  </si>
  <si>
    <t>SHA_BUS</t>
  </si>
  <si>
    <t>JAX_BALT</t>
  </si>
  <si>
    <t>MOB_HOU</t>
  </si>
  <si>
    <t>CRI_CAU</t>
  </si>
  <si>
    <t>KIN_SAV</t>
  </si>
  <si>
    <t>SHA_LAX</t>
  </si>
  <si>
    <t>BALT_NYC</t>
  </si>
  <si>
    <t>HOU_TPA</t>
  </si>
  <si>
    <t>CAU_PEC</t>
  </si>
  <si>
    <t>SAV_CHS</t>
  </si>
  <si>
    <t>SHA_MAN</t>
  </si>
  <si>
    <t>TPA_MIA</t>
  </si>
  <si>
    <t>PEC_SUP</t>
  </si>
  <si>
    <t>CHS_NOR</t>
  </si>
  <si>
    <t>BUS_LAX</t>
  </si>
  <si>
    <t>MIA_FPO</t>
  </si>
  <si>
    <t>SUP_SAL</t>
  </si>
  <si>
    <t>BUS_MAN</t>
  </si>
  <si>
    <t>BUS_BAL</t>
  </si>
  <si>
    <t>BUS_JAX</t>
  </si>
  <si>
    <t>BUS_MOB</t>
  </si>
  <si>
    <t>BUS_CRI</t>
  </si>
  <si>
    <t>LAX_BAL</t>
  </si>
  <si>
    <t>LAX_SCZ</t>
  </si>
  <si>
    <t>LAX_QTZ</t>
  </si>
  <si>
    <t>LAX_JAX</t>
  </si>
  <si>
    <t>LAX_MOB</t>
  </si>
  <si>
    <t>LAX_KIN</t>
  </si>
  <si>
    <t>LAX_CRI</t>
  </si>
  <si>
    <t>MAN_BAL</t>
  </si>
  <si>
    <t>MAN_SCZ</t>
  </si>
  <si>
    <t>MAN_QTZ</t>
  </si>
  <si>
    <t>MAN_KIN</t>
  </si>
  <si>
    <t>MAN_JAX</t>
  </si>
  <si>
    <t>MAN_MOB</t>
  </si>
  <si>
    <t>MAN_CRI</t>
  </si>
  <si>
    <t>BAL_COL</t>
  </si>
  <si>
    <t>BAL_CRI</t>
  </si>
  <si>
    <t>BAL_KIN</t>
  </si>
  <si>
    <t>BAL_MOB</t>
  </si>
  <si>
    <t>BAL_JAX</t>
  </si>
  <si>
    <t>SCZ_COA</t>
  </si>
  <si>
    <t>QTZ_COR</t>
  </si>
  <si>
    <t>COL_JAX</t>
  </si>
  <si>
    <t>COL_MOB</t>
  </si>
  <si>
    <t>COL_KIN</t>
  </si>
  <si>
    <t>COA_JAX</t>
  </si>
  <si>
    <t>COA_MOB</t>
  </si>
  <si>
    <t>COA_KIN</t>
  </si>
  <si>
    <t>COA_CRI</t>
  </si>
  <si>
    <t>COR_JAX</t>
  </si>
  <si>
    <t>COR_MOB</t>
  </si>
  <si>
    <t>COR_KIN</t>
  </si>
  <si>
    <t>COR_CRI</t>
  </si>
  <si>
    <t>Demande</t>
  </si>
  <si>
    <t xml:space="preserve">From China </t>
  </si>
  <si>
    <t>By canal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</si>
  <si>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</si>
  <si>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</si>
  <si>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</si>
  <si>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</si>
  <si>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</si>
  <si>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</si>
  <si>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</si>
  <si>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</si>
  <si>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</si>
  <si>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</si>
  <si>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 xml:space="preserve">November </t>
  </si>
  <si>
    <t xml:space="preserve">December </t>
  </si>
  <si>
    <t>Monthly demand route EMPIRE SERVICE</t>
  </si>
  <si>
    <t xml:space="preserve">Total </t>
  </si>
  <si>
    <t>Weekly demand (TEU)</t>
  </si>
  <si>
    <t>Monthly demand route LONE STAR</t>
  </si>
  <si>
    <t>Monthly demand route AMBERJACK</t>
  </si>
  <si>
    <t>Monthly demand route SANTANA</t>
  </si>
  <si>
    <t>Monthly demand Hub</t>
  </si>
  <si>
    <t>Busan</t>
  </si>
  <si>
    <t>LA</t>
  </si>
  <si>
    <t xml:space="preserve">Lazaro Cardenas </t>
  </si>
  <si>
    <t xml:space="preserve">Panama rail </t>
  </si>
  <si>
    <t>Revenue (USD)</t>
  </si>
  <si>
    <t>Nb of conteneurs</t>
  </si>
  <si>
    <t>Cost/TEU</t>
  </si>
  <si>
    <t>--&gt; rounded to 185</t>
  </si>
  <si>
    <t>Mexican/Guetemalan corridors</t>
  </si>
  <si>
    <t xml:space="preserve">20% cheaper </t>
  </si>
  <si>
    <t>--&gt; close to 140 of Mr. Agrell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</si>
</sst>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"/>
    <numFmt numFmtId="165" formatCode="#,##0.00_);[Red](#,##0.00)"/>
  </numFmts>
  <fonts count="22">
    <font>
      <sz val="11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  <font>
      <color rgb="FF000000"/>
      <name val="Calibri"/>
      <scheme val="minor"/>
    </font>
    <font>
      <b/>
      <sz val="11.0"/>
      <color rgb="FF001D35"/>
      <name val="Calibri"/>
      <scheme val="minor"/>
    </font>
    <font>
      <sz val="11.0"/>
      <color rgb="FF000000"/>
      <name val="Roboto"/>
    </font>
    <font>
      <b/>
      <sz val="11.0"/>
      <color theme="1"/>
      <name val="Calibri"/>
      <scheme val="minor"/>
    </font>
    <font>
      <b/>
      <sz val="11.0"/>
      <color theme="1"/>
      <name val="Calibri"/>
    </font>
    <font>
      <sz val="12.0"/>
      <color rgb="FF3C3C46"/>
      <name val="Arial"/>
    </font>
    <font>
      <sz val="12.0"/>
      <color rgb="FF333333"/>
      <name val="Nunito"/>
    </font>
    <font>
      <b/>
      <sz val="11.0"/>
      <color rgb="FF000000"/>
      <name val="Calibri"/>
      <scheme val="minor"/>
    </font>
    <font>
      <b/>
      <sz val="11.0"/>
      <color rgb="FF212121"/>
      <name val="Calibri"/>
      <scheme val="minor"/>
    </font>
    <font>
      <b/>
      <color rgb="FF000000"/>
      <name val="Calibri"/>
      <scheme val="minor"/>
    </font>
    <font>
      <sz val="12.0"/>
      <color rgb="FF353535"/>
      <name val="Arial"/>
    </font>
    <font>
      <sz val="14.0"/>
      <color rgb="FF222222"/>
      <name val="Arial"/>
    </font>
    <font>
      <sz val="11.0"/>
      <color rgb="FF1F1F1F"/>
      <name val="Calibri"/>
      <scheme val="minor"/>
    </font>
    <font>
      <b/>
      <i/>
      <color theme="1"/>
      <name val="Calibri"/>
      <scheme val="minor"/>
    </font>
    <font>
      <sz val="16.0"/>
      <color theme="1"/>
      <name val="Calibri"/>
      <scheme val="minor"/>
    </font>
    <font>
      <sz val="14.0"/>
      <color theme="1"/>
      <name val="Calibri"/>
      <scheme val="minor"/>
    </font>
    <font>
      <b/>
      <sz val="13.0"/>
      <color theme="1"/>
      <name val="Calibri"/>
      <scheme val="minor"/>
    </font>
    <font>
      <sz val="11.0"/>
      <color rgb="FF000000"/>
      <name val="Calibri"/>
      <scheme val="minor"/>
    </font>
    <font>
      <sz val="11.0"/>
      <color theme="1"/>
      <name val="Calibri"/>
    </font>
  </fonts>
  <fills count="18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6AA84F"/>
        <bgColor rgb="FF6AA84F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9FC5E8"/>
        <bgColor rgb="FF9FC5E8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F5F6F7"/>
        <bgColor rgb="FFF5F6F7"/>
      </patternFill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4" xfId="0" applyAlignment="1" applyFont="1" applyNumberFormat="1">
      <alignment readingOrder="0"/>
    </xf>
    <xf borderId="0" fillId="0" fontId="1" numFmtId="0" xfId="0" applyFont="1"/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right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1" fillId="5" fontId="5" numFmtId="0" xfId="0" applyAlignment="1" applyBorder="1" applyFill="1" applyFont="1">
      <alignment horizontal="right" readingOrder="0" shrinkToFit="0" vertical="bottom" wrapText="0"/>
    </xf>
    <xf borderId="0" fillId="0" fontId="6" numFmtId="0" xfId="0" applyAlignment="1" applyFont="1">
      <alignment readingOrder="0"/>
    </xf>
    <xf borderId="0" fillId="0" fontId="7" numFmtId="0" xfId="0" applyAlignment="1" applyFont="1">
      <alignment vertical="bottom"/>
    </xf>
    <xf borderId="0" fillId="5" fontId="1" numFmtId="0" xfId="0" applyAlignment="1" applyFont="1">
      <alignment readingOrder="0"/>
    </xf>
    <xf borderId="0" fillId="6" fontId="8" numFmtId="0" xfId="0" applyAlignment="1" applyFill="1" applyFont="1">
      <alignment horizontal="left" readingOrder="0"/>
    </xf>
    <xf borderId="0" fillId="6" fontId="9" numFmtId="0" xfId="0" applyAlignment="1" applyFont="1">
      <alignment horizontal="left" readingOrder="0"/>
    </xf>
    <xf borderId="0" fillId="0" fontId="1" numFmtId="1" xfId="0" applyAlignment="1" applyFont="1" applyNumberFormat="1">
      <alignment readingOrder="0"/>
    </xf>
    <xf borderId="0" fillId="0" fontId="1" numFmtId="1" xfId="0" applyFont="1" applyNumberFormat="1"/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/>
    </xf>
    <xf borderId="0" fillId="5" fontId="13" numFmtId="0" xfId="0" applyAlignment="1" applyFont="1">
      <alignment readingOrder="0"/>
    </xf>
    <xf borderId="0" fillId="5" fontId="14" numFmtId="0" xfId="0" applyAlignment="1" applyFont="1">
      <alignment readingOrder="0"/>
    </xf>
    <xf borderId="0" fillId="7" fontId="1" numFmtId="0" xfId="0" applyAlignment="1" applyFill="1" applyFont="1">
      <alignment readingOrder="0"/>
    </xf>
    <xf borderId="0" fillId="4" fontId="1" numFmtId="0" xfId="0" applyFont="1"/>
    <xf borderId="0" fillId="7" fontId="1" numFmtId="0" xfId="0" applyFont="1"/>
    <xf borderId="0" fillId="8" fontId="1" numFmtId="0" xfId="0" applyAlignment="1" applyFill="1" applyFont="1">
      <alignment readingOrder="0"/>
    </xf>
    <xf borderId="0" fillId="0" fontId="15" numFmtId="0" xfId="0" applyAlignment="1" applyFont="1">
      <alignment horizontal="left" readingOrder="0" shrinkToFit="0" wrapText="1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5" fontId="1" numFmtId="0" xfId="0" applyFont="1"/>
    <xf borderId="0" fillId="8" fontId="1" numFmtId="0" xfId="0" applyFont="1"/>
    <xf borderId="0" fillId="9" fontId="1" numFmtId="0" xfId="0" applyAlignment="1" applyFill="1" applyFont="1">
      <alignment readingOrder="0"/>
    </xf>
    <xf borderId="0" fillId="10" fontId="1" numFmtId="0" xfId="0" applyAlignment="1" applyFill="1" applyFont="1">
      <alignment readingOrder="0"/>
    </xf>
    <xf borderId="0" fillId="0" fontId="16" numFmtId="0" xfId="0" applyAlignment="1" applyFont="1">
      <alignment readingOrder="0"/>
    </xf>
    <xf borderId="0" fillId="11" fontId="2" numFmtId="0" xfId="0" applyAlignment="1" applyFill="1" applyFont="1">
      <alignment horizontal="center" readingOrder="0"/>
    </xf>
    <xf borderId="0" fillId="11" fontId="2" numFmtId="0" xfId="0" applyAlignment="1" applyFont="1">
      <alignment horizontal="right" readingOrder="0"/>
    </xf>
    <xf borderId="0" fillId="2" fontId="17" numFmtId="0" xfId="0" applyAlignment="1" applyFont="1">
      <alignment horizontal="center" readingOrder="0"/>
    </xf>
    <xf borderId="0" fillId="2" fontId="18" numFmtId="0" xfId="0" applyAlignment="1" applyFont="1">
      <alignment horizontal="center" readingOrder="0"/>
    </xf>
    <xf borderId="0" fillId="8" fontId="1" numFmtId="0" xfId="0" applyAlignment="1" applyFont="1">
      <alignment horizontal="right" readingOrder="0"/>
    </xf>
    <xf borderId="0" fillId="12" fontId="1" numFmtId="0" xfId="0" applyAlignment="1" applyFill="1" applyFont="1">
      <alignment horizontal="center" readingOrder="0"/>
    </xf>
    <xf borderId="0" fillId="0" fontId="7" numFmtId="0" xfId="0" applyAlignment="1" applyFont="1">
      <alignment vertical="bottom"/>
    </xf>
    <xf borderId="0" fillId="13" fontId="2" numFmtId="0" xfId="0" applyAlignment="1" applyFill="1" applyFont="1">
      <alignment readingOrder="0"/>
    </xf>
    <xf borderId="0" fillId="0" fontId="19" numFmtId="0" xfId="0" applyAlignment="1" applyFont="1">
      <alignment readingOrder="0"/>
    </xf>
    <xf borderId="0" fillId="0" fontId="3" numFmtId="0" xfId="0" applyFont="1"/>
    <xf borderId="0" fillId="0" fontId="2" numFmtId="0" xfId="0" applyFont="1"/>
    <xf borderId="0" fillId="0" fontId="20" numFmtId="0" xfId="0" applyFont="1"/>
    <xf borderId="0" fillId="14" fontId="20" numFmtId="0" xfId="0" applyAlignment="1" applyFill="1" applyFont="1">
      <alignment horizontal="left"/>
    </xf>
    <xf borderId="0" fillId="0" fontId="20" numFmtId="0" xfId="0" applyAlignment="1" applyFont="1">
      <alignment horizontal="left"/>
    </xf>
    <xf borderId="0" fillId="0" fontId="21" numFmtId="0" xfId="0" applyAlignment="1" applyFont="1">
      <alignment horizontal="right" vertical="bottom"/>
    </xf>
    <xf borderId="0" fillId="0" fontId="7" numFmtId="0" xfId="0" applyAlignment="1" applyFont="1">
      <alignment horizontal="right" vertical="bottom"/>
    </xf>
    <xf borderId="0" fillId="15" fontId="1" numFmtId="0" xfId="0" applyFill="1" applyFont="1"/>
    <xf borderId="0" fillId="0" fontId="0" numFmtId="0" xfId="0" applyAlignment="1" applyFont="1">
      <alignment horizontal="left" shrinkToFit="0" vertical="bottom" wrapText="0"/>
    </xf>
    <xf borderId="0" fillId="0" fontId="0" numFmtId="0" xfId="0" applyAlignment="1" applyFont="1">
      <alignment shrinkToFit="0" vertical="bottom" wrapText="0"/>
    </xf>
    <xf borderId="0" fillId="6" fontId="2" numFmtId="0" xfId="0" applyAlignment="1" applyFont="1">
      <alignment readingOrder="0"/>
    </xf>
    <xf borderId="0" fillId="0" fontId="21" numFmtId="0" xfId="0" applyAlignment="1" applyFont="1">
      <alignment horizontal="right" vertical="bottom"/>
    </xf>
    <xf borderId="0" fillId="16" fontId="1" numFmtId="0" xfId="0" applyAlignment="1" applyFill="1" applyFont="1">
      <alignment readingOrder="0"/>
    </xf>
    <xf borderId="0" fillId="17" fontId="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43"/>
    <col customWidth="1" min="2" max="14" width="13.29"/>
    <col customWidth="1" min="15" max="20" width="8.71"/>
    <col customWidth="1" min="21" max="21" width="9.29"/>
    <col customWidth="1" min="22" max="26" width="8.71"/>
    <col customWidth="1" min="27" max="37" width="9.57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>
      <c r="A3" s="5">
        <v>2530.0</v>
      </c>
      <c r="B3" s="5">
        <v>66.5</v>
      </c>
      <c r="C3" s="6">
        <f t="shared" ref="C3:D3" si="1">LN(A3)</f>
        <v>7.835974582</v>
      </c>
      <c r="D3" s="6">
        <f t="shared" si="1"/>
        <v>4.197201948</v>
      </c>
      <c r="E3" s="6">
        <f>SLOPE( D3:D11, C3:C11 )</f>
        <v>0.6216239932</v>
      </c>
      <c r="F3" s="6">
        <f>INTERCEPT(D3:D11 , C3:C11)</f>
        <v>-0.7910008918</v>
      </c>
      <c r="G3" s="6">
        <f>EXP( INTERCEPT(D3:D11 , C3:C11) )
</f>
        <v>0.453390773</v>
      </c>
      <c r="H3" s="6">
        <f>RSQ(D3:D11 , C3:C11)
</f>
        <v>0.8958588191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>
      <c r="A4" s="5">
        <v>3432.0</v>
      </c>
      <c r="B4" s="5">
        <v>77.7</v>
      </c>
      <c r="C4" s="6">
        <f t="shared" ref="C4:D4" si="2">LN(A4)</f>
        <v>8.140898461</v>
      </c>
      <c r="D4" s="6">
        <f t="shared" si="2"/>
        <v>4.352855257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>
      <c r="A5" s="5">
        <v>4385.0</v>
      </c>
      <c r="B5" s="5">
        <v>74.7</v>
      </c>
      <c r="C5" s="6">
        <f t="shared" ref="C5:D5" si="3">LN(A5)</f>
        <v>8.385944905</v>
      </c>
      <c r="D5" s="6">
        <f t="shared" si="3"/>
        <v>4.313480092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>
      <c r="A6" s="5">
        <v>5491.0</v>
      </c>
      <c r="B6" s="5">
        <v>82.0</v>
      </c>
      <c r="C6" s="6">
        <f t="shared" ref="C6:D6" si="4">LN(A6)</f>
        <v>8.610865667</v>
      </c>
      <c r="D6" s="6">
        <f t="shared" si="4"/>
        <v>4.406719247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>
      <c r="A7" s="5">
        <v>6505.0</v>
      </c>
      <c r="B7" s="5">
        <v>97.4</v>
      </c>
      <c r="C7" s="6">
        <f t="shared" ref="C7:D7" si="5">LN(A7)</f>
        <v>8.780326391</v>
      </c>
      <c r="D7" s="6">
        <f t="shared" si="5"/>
        <v>4.578826211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>
      <c r="A8" s="5">
        <v>7372.0</v>
      </c>
      <c r="B8" s="5">
        <v>110.1</v>
      </c>
      <c r="C8" s="6">
        <f t="shared" ref="C8:D8" si="6">LN(A8)</f>
        <v>8.905444319</v>
      </c>
      <c r="D8" s="6">
        <f t="shared" si="6"/>
        <v>4.701389044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>
      <c r="A9" s="5">
        <v>8293.0</v>
      </c>
      <c r="B9" s="5">
        <v>124.5</v>
      </c>
      <c r="C9" s="6">
        <f t="shared" ref="C9:D9" si="7">LN(A9)</f>
        <v>9.023167064</v>
      </c>
      <c r="D9" s="6">
        <f t="shared" si="7"/>
        <v>4.824305716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>
      <c r="A10" s="5">
        <v>9307.0</v>
      </c>
      <c r="B10" s="5">
        <v>139.8</v>
      </c>
      <c r="C10" s="6">
        <f t="shared" ref="C10:D10" si="8">LN(A10)</f>
        <v>9.138522084</v>
      </c>
      <c r="D10" s="6">
        <f t="shared" si="8"/>
        <v>4.94021283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>
      <c r="A11" s="5">
        <v>11680.0</v>
      </c>
      <c r="B11" s="5">
        <v>175.7</v>
      </c>
      <c r="C11" s="6">
        <f t="shared" ref="C11:D11" si="9">LN(A11)</f>
        <v>9.365633256</v>
      </c>
      <c r="D11" s="6">
        <f t="shared" si="9"/>
        <v>5.168777995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>
      <c r="A14" s="1" t="s">
        <v>9</v>
      </c>
      <c r="C14" s="4"/>
      <c r="D14" s="1" t="s">
        <v>10</v>
      </c>
      <c r="E14" s="3">
        <v>18.0</v>
      </c>
      <c r="F14" s="3">
        <v>20.0</v>
      </c>
      <c r="G14" s="3">
        <v>22.0</v>
      </c>
      <c r="H14" s="3">
        <v>24.0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>
      <c r="A15" s="3">
        <v>2000.0</v>
      </c>
      <c r="B15" s="6">
        <f>$G3  * (A15^$E3)</f>
        <v>51.10602759</v>
      </c>
      <c r="C15" s="4"/>
      <c r="D15" s="3">
        <v>2000.0</v>
      </c>
      <c r="E15" s="6">
        <f>B15*(E14/20)^3</f>
        <v>37.25629411</v>
      </c>
      <c r="F15" s="3">
        <f t="shared" ref="F15:F19" si="10">B15*(20/20)^3</f>
        <v>51.10602759</v>
      </c>
      <c r="G15" s="3">
        <f t="shared" ref="G15:G19" si="11">B15*(22/20)^3</f>
        <v>68.02212272</v>
      </c>
      <c r="H15" s="3">
        <f t="shared" ref="H15:H19" si="12">B15*(24/20)^3</f>
        <v>88.31121568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>
      <c r="A16" s="5">
        <v>5000.0</v>
      </c>
      <c r="B16" s="6">
        <f>$G3  * (A16^$E3)</f>
        <v>90.33190775</v>
      </c>
      <c r="C16" s="4"/>
      <c r="D16" s="5">
        <v>5000.0</v>
      </c>
      <c r="E16" s="6">
        <f>B16*($E14/20)^3</f>
        <v>65.85196075</v>
      </c>
      <c r="F16" s="3">
        <f t="shared" si="10"/>
        <v>90.33190775</v>
      </c>
      <c r="G16" s="3">
        <f t="shared" si="11"/>
        <v>120.2317692</v>
      </c>
      <c r="H16" s="3">
        <f t="shared" si="12"/>
        <v>156.0935366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>
      <c r="A17" s="3">
        <v>6000.0</v>
      </c>
      <c r="B17" s="6">
        <f>$G3  * (A17^$E3)</f>
        <v>101.1724215</v>
      </c>
      <c r="C17" s="4"/>
      <c r="D17" s="3">
        <v>6000.0</v>
      </c>
      <c r="E17" s="6">
        <f t="shared" ref="E17:E19" si="13">B17*(18/20)^3</f>
        <v>73.75469527</v>
      </c>
      <c r="F17" s="3">
        <f t="shared" si="10"/>
        <v>101.1724215</v>
      </c>
      <c r="G17" s="3">
        <f t="shared" si="11"/>
        <v>134.660493</v>
      </c>
      <c r="H17" s="3">
        <f t="shared" si="12"/>
        <v>174.8259444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>
      <c r="A18" s="5">
        <v>14000.0</v>
      </c>
      <c r="B18" s="6">
        <f>$G3  * (A18^$E3)</f>
        <v>171.3189261</v>
      </c>
      <c r="C18" s="4"/>
      <c r="D18" s="5">
        <v>14000.0</v>
      </c>
      <c r="E18" s="6">
        <f t="shared" si="13"/>
        <v>124.8914971</v>
      </c>
      <c r="F18" s="3">
        <f t="shared" si="10"/>
        <v>171.3189261</v>
      </c>
      <c r="G18" s="3">
        <f t="shared" si="11"/>
        <v>228.0254906</v>
      </c>
      <c r="H18" s="3">
        <f t="shared" si="12"/>
        <v>296.0391043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>
      <c r="A19" s="3">
        <v>18000.0</v>
      </c>
      <c r="B19" s="6">
        <f>$G3  * (A19^$E3)</f>
        <v>200.2867246</v>
      </c>
      <c r="C19" s="4"/>
      <c r="D19" s="3">
        <v>18000.0</v>
      </c>
      <c r="E19" s="6">
        <f t="shared" si="13"/>
        <v>146.0090222</v>
      </c>
      <c r="F19" s="3">
        <f t="shared" si="10"/>
        <v>200.2867246</v>
      </c>
      <c r="G19" s="3">
        <f t="shared" si="11"/>
        <v>266.5816304</v>
      </c>
      <c r="H19" s="3">
        <f t="shared" si="12"/>
        <v>346.0954601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ht="15.75" customHeight="1">
      <c r="A20" s="3">
        <v>20000.0</v>
      </c>
      <c r="B20" s="6">
        <f>$G3  * (A20^$E3)</f>
        <v>213.8435317</v>
      </c>
      <c r="C20" s="4"/>
      <c r="D20" s="5">
        <v>24000.0</v>
      </c>
      <c r="E20" s="6">
        <f>B21*(18/20)^3</f>
        <v>174.6001486</v>
      </c>
      <c r="F20" s="3">
        <f>B21*(20/20)^3</f>
        <v>239.5063767</v>
      </c>
      <c r="G20" s="3">
        <f>B21*(22/20)^3</f>
        <v>318.7829873</v>
      </c>
      <c r="H20" s="3">
        <f>B21*(24/20)^3</f>
        <v>413.8670189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ht="15.75" customHeight="1">
      <c r="A21" s="5">
        <v>24000.0</v>
      </c>
      <c r="B21" s="6">
        <f>$G3  * (A21^$E3)</f>
        <v>239.5063767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5"/>
      <c r="K23" s="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ht="15.75" customHeight="1">
      <c r="A24" s="1" t="s">
        <v>11</v>
      </c>
      <c r="B24" s="3">
        <v>18.0</v>
      </c>
      <c r="C24" s="3">
        <v>20.0</v>
      </c>
      <c r="D24" s="3">
        <v>22.0</v>
      </c>
      <c r="E24" s="3">
        <v>24.0</v>
      </c>
      <c r="I24" s="5"/>
    </row>
    <row r="25" ht="15.75" customHeight="1">
      <c r="A25" s="3">
        <v>2000.0</v>
      </c>
      <c r="B25" s="6">
        <f t="shared" ref="B25:B30" si="14">E15/(24*18)</f>
        <v>0.08624142156</v>
      </c>
      <c r="C25" s="6">
        <f t="shared" ref="C25:C29" si="15">F15/(24*20)</f>
        <v>0.1064708908</v>
      </c>
      <c r="D25" s="6">
        <f t="shared" ref="D25:D29" si="16">G15/(24*22)</f>
        <v>0.1288297779</v>
      </c>
      <c r="E25" s="6">
        <f t="shared" ref="E25:E29" si="17">H15/(24*24)</f>
        <v>0.1533180828</v>
      </c>
      <c r="I25" s="5"/>
    </row>
    <row r="26" ht="15.75" customHeight="1">
      <c r="A26" s="3">
        <v>5000.0</v>
      </c>
      <c r="B26" s="6">
        <f t="shared" si="14"/>
        <v>0.1524350943</v>
      </c>
      <c r="C26" s="6">
        <f t="shared" si="15"/>
        <v>0.1881914745</v>
      </c>
      <c r="D26" s="6">
        <f t="shared" si="16"/>
        <v>0.2277116841</v>
      </c>
      <c r="E26" s="6">
        <f t="shared" si="17"/>
        <v>0.2709957232</v>
      </c>
    </row>
    <row r="27" ht="15.75" customHeight="1">
      <c r="A27" s="3">
        <v>6000.0</v>
      </c>
      <c r="B27" s="6">
        <f t="shared" si="14"/>
        <v>0.1707284613</v>
      </c>
      <c r="C27" s="6">
        <f t="shared" si="15"/>
        <v>0.2107758781</v>
      </c>
      <c r="D27" s="6">
        <f t="shared" si="16"/>
        <v>0.2550388125</v>
      </c>
      <c r="E27" s="6">
        <f t="shared" si="17"/>
        <v>0.3035172645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ht="15.75" customHeight="1">
      <c r="A28" s="3">
        <v>14000.0</v>
      </c>
      <c r="B28" s="6">
        <f t="shared" si="14"/>
        <v>0.2891006878</v>
      </c>
      <c r="C28" s="6">
        <f t="shared" si="15"/>
        <v>0.3569144294</v>
      </c>
      <c r="D28" s="6">
        <f t="shared" si="16"/>
        <v>0.4318664595</v>
      </c>
      <c r="E28" s="6">
        <f t="shared" si="17"/>
        <v>0.5139567783</v>
      </c>
      <c r="K28" s="4"/>
      <c r="L28" s="4"/>
      <c r="R28" s="4"/>
      <c r="S28" s="7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ht="15.75" customHeight="1">
      <c r="A29" s="3">
        <v>18000.0</v>
      </c>
      <c r="B29" s="6">
        <f t="shared" si="14"/>
        <v>0.3379838477</v>
      </c>
      <c r="C29" s="6">
        <f t="shared" si="15"/>
        <v>0.4172640095</v>
      </c>
      <c r="D29" s="6">
        <f t="shared" si="16"/>
        <v>0.5048894515</v>
      </c>
      <c r="E29" s="6">
        <f t="shared" si="17"/>
        <v>0.6008601737</v>
      </c>
      <c r="K29" s="4"/>
      <c r="L29" s="4"/>
      <c r="R29" s="4"/>
      <c r="S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ht="15.75" customHeight="1">
      <c r="A30" s="3">
        <v>20000.0</v>
      </c>
      <c r="B30" s="6">
        <f t="shared" si="14"/>
        <v>0.4041670106</v>
      </c>
      <c r="C30" s="6">
        <f>B20/(24*20)</f>
        <v>0.4455073577</v>
      </c>
      <c r="K30" s="4"/>
      <c r="L30" s="4"/>
      <c r="R30" s="4"/>
      <c r="S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ht="15.75" customHeight="1">
      <c r="A31" s="3">
        <v>24000.0</v>
      </c>
      <c r="B31" s="6">
        <f>E20/(24*18)</f>
        <v>0.4041670106</v>
      </c>
      <c r="C31" s="6">
        <f>F20/(24*20)</f>
        <v>0.4989716181</v>
      </c>
      <c r="D31" s="6">
        <f>G20/(24*22)</f>
        <v>0.6037556578</v>
      </c>
      <c r="E31" s="6">
        <f>H20/(24*24)</f>
        <v>0.71851913</v>
      </c>
      <c r="K31" s="4"/>
      <c r="L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ht="15.75" customHeight="1"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ht="15.75" customHeight="1">
      <c r="C33" s="8"/>
      <c r="Z33" s="9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ht="15.75" customHeight="1">
      <c r="Z34" s="9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ht="15.75" customHeight="1">
      <c r="Z35" s="9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ht="15.75" customHeight="1">
      <c r="Z36" s="9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ht="15.75" customHeight="1">
      <c r="Z37" s="9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ht="15.75" customHeight="1">
      <c r="Z38" s="9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ht="15.75" customHeight="1">
      <c r="Z39" s="9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ht="15.75" customHeight="1">
      <c r="Z40" s="9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ht="15.75" customHeight="1">
      <c r="Z41" s="9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ht="15.75" customHeight="1">
      <c r="Z42" s="9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ht="15.75" customHeight="1">
      <c r="Z43" s="9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ht="15.75" customHeight="1">
      <c r="Z44" s="9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ht="15.75" customHeight="1">
      <c r="Z45" s="9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ht="15.75" customHeight="1">
      <c r="Z46" s="9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ht="15.75" customHeight="1">
      <c r="Z47" s="9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ht="15.75" customHeight="1">
      <c r="Z48" s="9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ht="15.75" customHeight="1">
      <c r="Z49" s="9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ht="15.75" customHeight="1">
      <c r="Z50" s="9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ht="15.75" customHeight="1">
      <c r="Z51" s="9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ht="15.75" customHeight="1">
      <c r="Z52" s="9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ht="15.75" customHeight="1">
      <c r="Z53" s="9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ht="15.75" customHeight="1">
      <c r="Z54" s="9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ht="15.75" customHeight="1">
      <c r="Z55" s="9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ht="15.75" customHeight="1">
      <c r="Z56" s="9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ht="15.75" customHeight="1">
      <c r="Z57" s="9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ht="15.75" customHeight="1">
      <c r="Z58" s="9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ht="15.75" customHeight="1">
      <c r="Z59" s="9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ht="15.75" customHeight="1">
      <c r="Z60" s="9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ht="15.75" customHeight="1">
      <c r="Z61" s="9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ht="15.75" customHeight="1">
      <c r="Z62" s="9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ht="15.75" customHeight="1">
      <c r="Z63" s="9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ht="15.75" customHeight="1">
      <c r="Z64" s="9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ht="15.75" customHeight="1">
      <c r="Z65" s="9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ht="15.75" customHeight="1">
      <c r="Z66" s="9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ht="15.75" customHeight="1">
      <c r="Z67" s="9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ht="15.75" customHeight="1">
      <c r="Z68" s="9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ht="15.75" customHeight="1">
      <c r="Z69" s="9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ht="15.75" customHeight="1">
      <c r="Z70" s="9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ht="15.75" customHeight="1">
      <c r="Z71" s="9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ht="15.75" customHeight="1">
      <c r="Z72" s="9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ht="15.75" customHeight="1">
      <c r="Z73" s="9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ht="15.75" customHeight="1">
      <c r="Z74" s="9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ht="15.75" customHeight="1">
      <c r="Z75" s="9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ht="15.75" customHeight="1">
      <c r="Z76" s="9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ht="15.75" customHeight="1">
      <c r="Z77" s="9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ht="15.75" customHeight="1">
      <c r="Z78" s="9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ht="15.75" customHeight="1">
      <c r="Z79" s="9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ht="15.75" customHeight="1">
      <c r="Z80" s="9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ht="15.75" customHeight="1">
      <c r="Z81" s="9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ht="15.75" customHeight="1">
      <c r="Z82" s="9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ht="15.75" customHeight="1">
      <c r="Z83" s="9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ht="15.75" customHeight="1">
      <c r="Z84" s="9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ht="15.75" customHeight="1">
      <c r="Z85" s="9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ht="15.75" customHeight="1">
      <c r="Z86" s="9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ht="15.75" customHeight="1">
      <c r="Z87" s="9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ht="15.75" customHeight="1">
      <c r="Z88" s="9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ht="15.75" customHeight="1">
      <c r="Z89" s="9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ht="15.75" customHeight="1">
      <c r="Z90" s="9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ht="15.75" customHeight="1">
      <c r="Z91" s="9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ht="15.75" customHeight="1">
      <c r="Z92" s="9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ht="15.75" customHeight="1">
      <c r="Z93" s="9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ht="15.75" customHeight="1">
      <c r="Z94" s="9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ht="15.75" customHeight="1">
      <c r="Z95" s="9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ht="15.75" customHeight="1">
      <c r="Z96" s="9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ht="15.75" customHeight="1">
      <c r="Z97" s="9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ht="15.75" customHeight="1">
      <c r="Z98" s="9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ht="15.75" customHeight="1">
      <c r="Z99" s="9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ht="15.75" customHeight="1">
      <c r="Z100" s="9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ht="15.75" customHeight="1">
      <c r="Z101" s="9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ht="15.75" customHeight="1">
      <c r="Z102" s="9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ht="15.75" customHeight="1">
      <c r="Z103" s="9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ht="15.75" customHeight="1">
      <c r="Z104" s="9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ht="15.75" customHeight="1">
      <c r="Z105" s="9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ht="15.75" customHeight="1">
      <c r="Z106" s="9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ht="15.75" customHeight="1">
      <c r="Z107" s="9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ht="15.75" customHeight="1">
      <c r="Z108" s="9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ht="15.75" customHeight="1">
      <c r="Z109" s="9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ht="15.75" customHeight="1">
      <c r="Z110" s="9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ht="15.75" customHeight="1">
      <c r="Z111" s="9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ht="15.75" customHeight="1">
      <c r="Z112" s="9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ht="15.75" customHeight="1">
      <c r="Z113" s="9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ht="15.75" customHeight="1">
      <c r="Z114" s="9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ht="15.75" customHeight="1">
      <c r="Z115" s="9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ht="15.75" customHeight="1">
      <c r="Z116" s="9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ht="15.75" customHeight="1">
      <c r="Z117" s="9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ht="15.75" customHeight="1">
      <c r="Z118" s="9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ht="15.75" customHeight="1">
      <c r="Z119" s="9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ht="15.75" customHeight="1">
      <c r="Z120" s="9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ht="15.75" customHeight="1">
      <c r="Z121" s="9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ht="15.75" customHeight="1">
      <c r="Z122" s="9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ht="15.75" customHeight="1">
      <c r="Z123" s="9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ht="15.75" customHeight="1">
      <c r="Z124" s="9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ht="15.75" customHeight="1">
      <c r="Z125" s="9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ht="15.75" customHeight="1">
      <c r="Z126" s="9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ht="15.75" customHeight="1">
      <c r="Z127" s="9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ht="15.75" customHeight="1">
      <c r="Z128" s="9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ht="15.75" customHeight="1">
      <c r="Z129" s="9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ht="15.75" customHeight="1">
      <c r="Z130" s="9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ht="15.75" customHeight="1">
      <c r="Z131" s="9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ht="15.75" customHeight="1">
      <c r="Z132" s="9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ht="15.75" customHeight="1">
      <c r="Z133" s="9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ht="15.75" customHeight="1">
      <c r="Z134" s="9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ht="15.75" customHeight="1">
      <c r="Z135" s="9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ht="15.75" customHeight="1">
      <c r="Z136" s="9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ht="15.75" customHeight="1">
      <c r="Z137" s="9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ht="15.75" customHeight="1">
      <c r="Z138" s="9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ht="15.75" customHeight="1">
      <c r="Z139" s="9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ht="15.75" customHeight="1">
      <c r="Z140" s="9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ht="15.75" customHeight="1">
      <c r="Z141" s="9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ht="15.75" customHeight="1">
      <c r="Z142" s="9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ht="15.75" customHeight="1">
      <c r="Z143" s="9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ht="15.75" customHeight="1">
      <c r="Z144" s="9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ht="15.75" customHeight="1">
      <c r="Z145" s="9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ht="15.75" customHeight="1">
      <c r="Z146" s="9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ht="15.75" customHeight="1">
      <c r="Z147" s="9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ht="15.75" customHeight="1">
      <c r="Z148" s="9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ht="15.75" customHeight="1">
      <c r="Z149" s="9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">
    <mergeCell ref="A1:H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 ht="23.25" customHeight="1">
      <c r="A1" s="10" t="s">
        <v>12</v>
      </c>
    </row>
    <row r="2" ht="23.25" customHeight="1">
      <c r="A2" s="11" t="s">
        <v>13</v>
      </c>
      <c r="B2" s="11" t="s">
        <v>14</v>
      </c>
      <c r="C2" s="11" t="s">
        <v>15</v>
      </c>
    </row>
    <row r="3">
      <c r="A3" s="12" t="s">
        <v>16</v>
      </c>
      <c r="B3" s="13" t="s">
        <v>17</v>
      </c>
    </row>
    <row r="4">
      <c r="A4" s="14" t="s">
        <v>18</v>
      </c>
      <c r="B4" s="13" t="s">
        <v>19</v>
      </c>
    </row>
    <row r="5">
      <c r="A5" s="14" t="s">
        <v>20</v>
      </c>
      <c r="B5" s="13" t="s">
        <v>21</v>
      </c>
    </row>
    <row r="6">
      <c r="A6" s="15" t="s">
        <v>22</v>
      </c>
      <c r="B6" s="13" t="s">
        <v>23</v>
      </c>
    </row>
    <row r="7">
      <c r="A7" s="2" t="s">
        <v>24</v>
      </c>
      <c r="B7" s="13" t="s">
        <v>25</v>
      </c>
    </row>
    <row r="8">
      <c r="A8" s="2" t="s">
        <v>26</v>
      </c>
      <c r="B8" s="13" t="s">
        <v>27</v>
      </c>
    </row>
    <row r="9">
      <c r="A9" s="2" t="s">
        <v>28</v>
      </c>
      <c r="B9" s="13" t="s">
        <v>29</v>
      </c>
    </row>
    <row r="10">
      <c r="A10" s="2" t="s">
        <v>30</v>
      </c>
      <c r="B10" s="13" t="s">
        <v>31</v>
      </c>
    </row>
    <row r="11">
      <c r="A11" s="2" t="s">
        <v>32</v>
      </c>
      <c r="B11" s="16">
        <v>16000.0</v>
      </c>
    </row>
    <row r="12">
      <c r="A12" s="15" t="s">
        <v>33</v>
      </c>
      <c r="B12" s="13" t="s">
        <v>21</v>
      </c>
    </row>
    <row r="13">
      <c r="A13" s="2" t="s">
        <v>34</v>
      </c>
      <c r="B13" s="13" t="s">
        <v>21</v>
      </c>
    </row>
    <row r="14">
      <c r="A14" s="14" t="s">
        <v>35</v>
      </c>
      <c r="B14" s="13" t="s">
        <v>21</v>
      </c>
    </row>
    <row r="15">
      <c r="A15" s="2" t="s">
        <v>36</v>
      </c>
      <c r="B15" s="13" t="s">
        <v>37</v>
      </c>
    </row>
    <row r="16">
      <c r="A16" s="2" t="s">
        <v>38</v>
      </c>
      <c r="B16" s="16">
        <v>14000.0</v>
      </c>
    </row>
    <row r="17">
      <c r="A17" s="2" t="s">
        <v>39</v>
      </c>
      <c r="B17" s="16">
        <v>12990.0</v>
      </c>
    </row>
    <row r="18">
      <c r="A18" s="2" t="s">
        <v>40</v>
      </c>
      <c r="B18" s="16">
        <v>20000.0</v>
      </c>
      <c r="C18" s="17"/>
    </row>
    <row r="19">
      <c r="A19" s="2" t="s">
        <v>41</v>
      </c>
      <c r="B19" s="16">
        <v>14000.0</v>
      </c>
      <c r="C19" s="18"/>
    </row>
    <row r="20">
      <c r="A20" s="2" t="s">
        <v>42</v>
      </c>
      <c r="B20" s="16">
        <v>12000.0</v>
      </c>
    </row>
    <row r="21">
      <c r="A21" s="2" t="s">
        <v>43</v>
      </c>
      <c r="B21" s="13" t="s">
        <v>44</v>
      </c>
      <c r="C21" s="19">
        <f t="shared" ref="C21:C22" si="1">3500000/52</f>
        <v>67307.69231</v>
      </c>
    </row>
    <row r="22">
      <c r="A22" s="2" t="s">
        <v>45</v>
      </c>
      <c r="B22" s="16">
        <v>24000.0</v>
      </c>
      <c r="C22" s="19">
        <f t="shared" si="1"/>
        <v>67307.69231</v>
      </c>
    </row>
    <row r="23">
      <c r="A23" s="2" t="s">
        <v>46</v>
      </c>
      <c r="B23" s="16">
        <v>14000.0</v>
      </c>
      <c r="C23" s="19">
        <f>5000000/52</f>
        <v>96153.84615</v>
      </c>
    </row>
    <row r="24">
      <c r="A24" s="2" t="s">
        <v>47</v>
      </c>
      <c r="B24" s="16">
        <v>14000.0</v>
      </c>
      <c r="C24" s="20">
        <f>2400000/52</f>
        <v>46153.84615</v>
      </c>
    </row>
    <row r="25">
      <c r="A25" s="2" t="s">
        <v>48</v>
      </c>
      <c r="B25" s="16">
        <v>2000.0</v>
      </c>
      <c r="C25" s="20">
        <f>250000/52</f>
        <v>4807.692308</v>
      </c>
    </row>
    <row r="26">
      <c r="A26" s="21" t="s">
        <v>49</v>
      </c>
      <c r="B26" s="16">
        <v>5000.0</v>
      </c>
      <c r="C26" s="20">
        <f>220000/52</f>
        <v>4230.769231</v>
      </c>
    </row>
    <row r="27">
      <c r="A27" s="22" t="s">
        <v>50</v>
      </c>
      <c r="B27" s="16">
        <v>10000.0</v>
      </c>
      <c r="C27" s="20">
        <f>340000/52</f>
        <v>6538.461538</v>
      </c>
    </row>
    <row r="28">
      <c r="A28" s="23" t="s">
        <v>51</v>
      </c>
      <c r="B28" s="24">
        <v>12500.0</v>
      </c>
      <c r="C28" s="20">
        <f>1400000/52</f>
        <v>26923.07692</v>
      </c>
    </row>
    <row r="29">
      <c r="A29" s="2" t="s">
        <v>52</v>
      </c>
      <c r="B29" s="25">
        <v>20568.0</v>
      </c>
      <c r="C29" s="20">
        <f>15840000/52</f>
        <v>304615.3846</v>
      </c>
    </row>
    <row r="30">
      <c r="A30" s="2" t="s">
        <v>53</v>
      </c>
      <c r="B30" s="25">
        <v>14000.0</v>
      </c>
      <c r="C30" s="20">
        <f>3600000/52</f>
        <v>69230.76923</v>
      </c>
    </row>
    <row r="31">
      <c r="A31" s="2" t="s">
        <v>54</v>
      </c>
      <c r="B31" s="3">
        <v>18000.0</v>
      </c>
      <c r="C31" s="6">
        <f>2200000/52</f>
        <v>42307.69231</v>
      </c>
    </row>
  </sheetData>
  <mergeCells count="1">
    <mergeCell ref="A1:C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4.71"/>
    <col customWidth="1" min="3" max="3" width="18.86"/>
  </cols>
  <sheetData>
    <row r="1">
      <c r="A1" s="26" t="s">
        <v>55</v>
      </c>
    </row>
    <row r="2">
      <c r="A2" s="3" t="s">
        <v>56</v>
      </c>
      <c r="B2" s="3" t="s">
        <v>57</v>
      </c>
      <c r="C2" s="3" t="s">
        <v>58</v>
      </c>
      <c r="D2" s="3" t="s">
        <v>59</v>
      </c>
    </row>
    <row r="3">
      <c r="A3" s="3">
        <v>37.0</v>
      </c>
      <c r="B3" s="6">
        <f>37*7</f>
        <v>259</v>
      </c>
      <c r="C3" s="6">
        <f>259/2</f>
        <v>129.5</v>
      </c>
      <c r="D3" s="27">
        <f>C3*0.2</f>
        <v>25.9</v>
      </c>
      <c r="F3" s="3">
        <v>24.0</v>
      </c>
      <c r="G3" s="6">
        <f>24*7</f>
        <v>168</v>
      </c>
      <c r="H3" s="6">
        <f>168/2</f>
        <v>84</v>
      </c>
      <c r="I3" s="27">
        <f>H3*0.2</f>
        <v>16.8</v>
      </c>
    </row>
    <row r="5">
      <c r="B5" s="3" t="s">
        <v>60</v>
      </c>
      <c r="C5" s="3" t="s">
        <v>61</v>
      </c>
      <c r="G5" s="3" t="s">
        <v>60</v>
      </c>
      <c r="H5" s="3" t="s">
        <v>61</v>
      </c>
    </row>
    <row r="6">
      <c r="A6" s="3" t="s">
        <v>62</v>
      </c>
      <c r="B6" s="3">
        <v>72.0</v>
      </c>
      <c r="C6" s="3">
        <v>28.0</v>
      </c>
      <c r="F6" s="3" t="s">
        <v>62</v>
      </c>
      <c r="G6" s="3">
        <v>72.0</v>
      </c>
      <c r="H6" s="3">
        <v>28.0</v>
      </c>
    </row>
    <row r="7">
      <c r="A7" s="3" t="s">
        <v>63</v>
      </c>
      <c r="B7" s="3">
        <v>9.0</v>
      </c>
      <c r="C7" s="3">
        <v>58.0</v>
      </c>
      <c r="F7" s="3" t="s">
        <v>63</v>
      </c>
      <c r="G7" s="3">
        <v>9.0</v>
      </c>
      <c r="H7" s="3">
        <v>58.0</v>
      </c>
    </row>
    <row r="8">
      <c r="A8" s="3" t="s">
        <v>64</v>
      </c>
      <c r="B8" s="3">
        <v>5000.0</v>
      </c>
      <c r="C8" s="3">
        <v>14000.0</v>
      </c>
      <c r="F8" s="3" t="s">
        <v>64</v>
      </c>
      <c r="G8" s="3">
        <v>5000.0</v>
      </c>
      <c r="H8" s="3">
        <v>14000.0</v>
      </c>
    </row>
    <row r="9">
      <c r="A9" s="3" t="s">
        <v>65</v>
      </c>
      <c r="B9" s="6">
        <f>25.9*0.72*0.09*5000</f>
        <v>8391.6</v>
      </c>
      <c r="C9" s="6">
        <f>25.9*0.28*0.58*14000</f>
        <v>58886.24</v>
      </c>
      <c r="D9" s="28">
        <f>SUM(B9:C9)</f>
        <v>67277.84</v>
      </c>
      <c r="F9" s="3" t="s">
        <v>65</v>
      </c>
      <c r="G9" s="6">
        <f>16.8*0.72*0.09*5000</f>
        <v>5443.2</v>
      </c>
      <c r="H9" s="6">
        <f>16.8*0.28*0.58*14000</f>
        <v>38196.48</v>
      </c>
      <c r="I9" s="28">
        <f>SUM(G9:H9)</f>
        <v>43639.68</v>
      </c>
    </row>
    <row r="11">
      <c r="A11" s="29" t="s">
        <v>66</v>
      </c>
      <c r="B11" s="16" t="s">
        <v>67</v>
      </c>
      <c r="C11" s="16" t="s">
        <v>68</v>
      </c>
      <c r="D11" s="16" t="s">
        <v>69</v>
      </c>
    </row>
    <row r="12">
      <c r="A12" s="3" t="s">
        <v>70</v>
      </c>
      <c r="B12" s="3">
        <v>76.6</v>
      </c>
      <c r="C12" s="3">
        <v>308.5</v>
      </c>
      <c r="D12" s="3">
        <v>370.0</v>
      </c>
    </row>
    <row r="13">
      <c r="A13" s="3" t="s">
        <v>71</v>
      </c>
      <c r="B13" s="3"/>
      <c r="C13" s="3">
        <v>7.0</v>
      </c>
    </row>
    <row r="14">
      <c r="A14" s="30" t="s">
        <v>72</v>
      </c>
      <c r="B14" s="3"/>
      <c r="C14" s="6">
        <f>C12/C13</f>
        <v>44.07142857</v>
      </c>
      <c r="D14" s="3">
        <v>45.0</v>
      </c>
    </row>
    <row r="15">
      <c r="A15" s="3" t="s">
        <v>73</v>
      </c>
      <c r="B15" s="3"/>
      <c r="C15" s="3">
        <v>45.0</v>
      </c>
      <c r="D15" s="3">
        <v>35.0</v>
      </c>
    </row>
    <row r="16">
      <c r="A16" s="3" t="s">
        <v>74</v>
      </c>
      <c r="B16" s="3"/>
      <c r="C16" s="6">
        <f t="shared" ref="C16:D16" si="1">C14/C15</f>
        <v>0.9793650794</v>
      </c>
      <c r="D16" s="6">
        <f t="shared" si="1"/>
        <v>1.285714286</v>
      </c>
    </row>
    <row r="17">
      <c r="A17" s="3" t="s">
        <v>75</v>
      </c>
      <c r="B17" s="3">
        <v>10.0</v>
      </c>
      <c r="C17" s="31">
        <v>46364.0</v>
      </c>
      <c r="D17" s="31">
        <v>46208.0</v>
      </c>
    </row>
    <row r="18">
      <c r="A18" s="3" t="s">
        <v>76</v>
      </c>
      <c r="B18" s="32">
        <f>24/10</f>
        <v>2.4</v>
      </c>
      <c r="C18" s="31">
        <v>46083.0</v>
      </c>
      <c r="D18" s="3" t="s">
        <v>77</v>
      </c>
    </row>
    <row r="19">
      <c r="A19" s="3" t="s">
        <v>78</v>
      </c>
      <c r="B19" s="3">
        <v>1.5</v>
      </c>
      <c r="C19" s="6">
        <f t="shared" ref="C19:D19" si="2">C12/C15</f>
        <v>6.855555556</v>
      </c>
      <c r="D19" s="6">
        <f t="shared" si="2"/>
        <v>10.57142857</v>
      </c>
    </row>
    <row r="20">
      <c r="A20" s="30" t="s">
        <v>79</v>
      </c>
      <c r="B20" s="6">
        <f>B18/B19</f>
        <v>1.6</v>
      </c>
      <c r="C20" s="31">
        <v>46083.0</v>
      </c>
      <c r="D20" s="3" t="s">
        <v>80</v>
      </c>
    </row>
    <row r="21">
      <c r="A21" s="3" t="s">
        <v>81</v>
      </c>
      <c r="B21" s="3">
        <v>135.0</v>
      </c>
      <c r="C21" s="3">
        <v>135.0</v>
      </c>
      <c r="D21" s="3">
        <v>135.0</v>
      </c>
    </row>
    <row r="22">
      <c r="A22" s="3" t="s">
        <v>82</v>
      </c>
      <c r="B22" s="6">
        <f>10*135*365</f>
        <v>492750</v>
      </c>
      <c r="C22" s="6">
        <f>C21*9*365</f>
        <v>443475</v>
      </c>
      <c r="D22" s="6">
        <f>6*135*365</f>
        <v>295650</v>
      </c>
    </row>
    <row r="23">
      <c r="A23" s="16" t="s">
        <v>83</v>
      </c>
      <c r="B23" s="33">
        <f t="shared" ref="B23:D23" si="3">B22*2</f>
        <v>985500</v>
      </c>
      <c r="C23" s="33">
        <f t="shared" si="3"/>
        <v>886950</v>
      </c>
      <c r="D23" s="33">
        <f t="shared" si="3"/>
        <v>591300</v>
      </c>
    </row>
    <row r="25">
      <c r="A25" s="29" t="s">
        <v>84</v>
      </c>
      <c r="B25" s="34">
        <f t="shared" ref="B25:D25" si="4">B23/2/52</f>
        <v>9475.961538</v>
      </c>
      <c r="C25" s="34">
        <f t="shared" si="4"/>
        <v>8528.365385</v>
      </c>
      <c r="D25" s="34">
        <f t="shared" si="4"/>
        <v>5685.576923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5" t="s">
        <v>85</v>
      </c>
    </row>
    <row r="2">
      <c r="A2" s="3" t="s">
        <v>86</v>
      </c>
      <c r="B2" s="3" t="s">
        <v>87</v>
      </c>
      <c r="C2" s="3" t="s">
        <v>88</v>
      </c>
      <c r="D2" s="3" t="s">
        <v>89</v>
      </c>
      <c r="E2" s="3" t="s">
        <v>90</v>
      </c>
      <c r="F2" s="3" t="s">
        <v>91</v>
      </c>
      <c r="G2" s="3" t="s">
        <v>92</v>
      </c>
    </row>
    <row r="3">
      <c r="A3" s="3">
        <v>8500.0</v>
      </c>
      <c r="B3" s="3">
        <v>9521.0</v>
      </c>
      <c r="C3" s="6">
        <f t="shared" ref="C3:D3" si="1">LN(A3)</f>
        <v>9.047821442</v>
      </c>
      <c r="D3" s="6">
        <f t="shared" si="1"/>
        <v>9.161255164</v>
      </c>
      <c r="E3" s="6">
        <f>SLOPE(D3:D5,C3:C5)</f>
        <v>0.5132068427</v>
      </c>
      <c r="F3" s="6">
        <f>INTERCEPT(D3:D5,C3:C5)</f>
        <v>4.518187175</v>
      </c>
      <c r="G3" s="6">
        <f>exp(F3)</f>
        <v>91.66926696</v>
      </c>
    </row>
    <row r="4">
      <c r="A4" s="3">
        <v>15000.0</v>
      </c>
      <c r="B4" s="3">
        <v>12762.0</v>
      </c>
      <c r="C4" s="6">
        <f t="shared" ref="C4:D4" si="2">LN(A4)</f>
        <v>9.61580548</v>
      </c>
      <c r="D4" s="6">
        <f t="shared" si="2"/>
        <v>9.454227284</v>
      </c>
    </row>
    <row r="5">
      <c r="A5" s="3">
        <v>19000.0</v>
      </c>
      <c r="B5" s="3">
        <v>14380.0</v>
      </c>
      <c r="C5" s="6">
        <f t="shared" ref="C5:D5" si="3">LN(A5)</f>
        <v>9.852194258</v>
      </c>
      <c r="D5" s="6">
        <f t="shared" si="3"/>
        <v>9.573593631</v>
      </c>
    </row>
    <row r="7">
      <c r="A7" s="36" t="s">
        <v>93</v>
      </c>
      <c r="D7" s="36" t="s">
        <v>94</v>
      </c>
    </row>
    <row r="8">
      <c r="A8" s="3">
        <v>2000.0</v>
      </c>
      <c r="B8" s="6">
        <f>$G3*(A8^$E3)</f>
        <v>4532.470019</v>
      </c>
      <c r="D8" s="6">
        <f t="shared" ref="D8:D14" si="4">B8/480</f>
        <v>9.442645873</v>
      </c>
    </row>
    <row r="9">
      <c r="A9" s="5">
        <v>5000.0</v>
      </c>
      <c r="B9" s="6">
        <f>$G3*(A9^$E3)</f>
        <v>7253.71479</v>
      </c>
      <c r="D9" s="6">
        <f t="shared" si="4"/>
        <v>15.11190581</v>
      </c>
    </row>
    <row r="10">
      <c r="A10" s="3">
        <v>6000.0</v>
      </c>
      <c r="B10" s="6">
        <f>G3*(A10^E3)</f>
        <v>7965.202709</v>
      </c>
      <c r="D10" s="6">
        <f t="shared" si="4"/>
        <v>16.59417231</v>
      </c>
    </row>
    <row r="11">
      <c r="A11" s="5">
        <v>14000.0</v>
      </c>
      <c r="B11" s="6">
        <f>G3*(A11^E3)</f>
        <v>12303.96358</v>
      </c>
      <c r="D11" s="6">
        <f t="shared" si="4"/>
        <v>25.63325746</v>
      </c>
    </row>
    <row r="12">
      <c r="A12" s="3">
        <v>18000.0</v>
      </c>
      <c r="B12" s="6">
        <f>G3*(A12^E3)</f>
        <v>13997.76588</v>
      </c>
      <c r="C12" s="2"/>
      <c r="D12" s="6">
        <f t="shared" si="4"/>
        <v>29.16201225</v>
      </c>
      <c r="E12" s="37"/>
    </row>
    <row r="13">
      <c r="A13" s="3">
        <v>20000.0</v>
      </c>
      <c r="B13" s="6">
        <f>G3*(A13^E3)</f>
        <v>14775.48627</v>
      </c>
      <c r="D13" s="6">
        <f t="shared" si="4"/>
        <v>30.78226306</v>
      </c>
    </row>
    <row r="14">
      <c r="A14" s="5">
        <v>24000.0</v>
      </c>
      <c r="B14" s="6">
        <f>G3*(A14^E3)</f>
        <v>16224.75472</v>
      </c>
      <c r="D14" s="6">
        <f t="shared" si="4"/>
        <v>33.80157233</v>
      </c>
    </row>
    <row r="17">
      <c r="A17" s="38" t="s">
        <v>95</v>
      </c>
      <c r="B17" s="39" t="s">
        <v>96</v>
      </c>
      <c r="C17" s="39" t="s">
        <v>97</v>
      </c>
      <c r="D17" s="39" t="s">
        <v>98</v>
      </c>
    </row>
    <row r="18">
      <c r="A18" s="3" t="s">
        <v>99</v>
      </c>
      <c r="B18" s="4">
        <v>180.0</v>
      </c>
      <c r="C18" s="4">
        <v>180.0</v>
      </c>
      <c r="D18" s="4">
        <v>360.0</v>
      </c>
    </row>
    <row r="19">
      <c r="A19" s="3" t="s">
        <v>100</v>
      </c>
      <c r="B19" s="4">
        <v>300.0</v>
      </c>
      <c r="C19" s="4">
        <v>300.0</v>
      </c>
      <c r="D19" s="4">
        <v>600.0</v>
      </c>
    </row>
    <row r="20">
      <c r="A20" s="3" t="s">
        <v>101</v>
      </c>
      <c r="B20" s="4">
        <v>420.0</v>
      </c>
      <c r="C20" s="4">
        <v>420.0</v>
      </c>
      <c r="D20" s="4">
        <v>840.0</v>
      </c>
    </row>
  </sheetData>
  <mergeCells count="1">
    <mergeCell ref="A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0" t="s">
        <v>102</v>
      </c>
      <c r="C1" s="41" t="s">
        <v>103</v>
      </c>
      <c r="E1" s="41" t="s">
        <v>104</v>
      </c>
      <c r="G1" s="41" t="s">
        <v>105</v>
      </c>
      <c r="I1" s="41" t="s">
        <v>106</v>
      </c>
    </row>
    <row r="3">
      <c r="A3" s="29" t="s">
        <v>107</v>
      </c>
      <c r="B3" s="4">
        <v>492.0</v>
      </c>
      <c r="C3" s="29" t="s">
        <v>108</v>
      </c>
      <c r="D3" s="4">
        <v>690.0</v>
      </c>
      <c r="E3" s="29" t="s">
        <v>109</v>
      </c>
      <c r="F3" s="3">
        <v>539.0</v>
      </c>
      <c r="G3" s="29" t="s">
        <v>110</v>
      </c>
      <c r="H3" s="3">
        <v>810.0</v>
      </c>
      <c r="I3" s="29" t="s">
        <v>111</v>
      </c>
      <c r="J3" s="3">
        <v>1060.0</v>
      </c>
      <c r="K3" s="4"/>
      <c r="L3" s="4"/>
      <c r="M3" s="4"/>
    </row>
    <row r="4">
      <c r="A4" s="29" t="s">
        <v>112</v>
      </c>
      <c r="B4" s="4">
        <v>5708.0</v>
      </c>
      <c r="C4" s="29" t="s">
        <v>113</v>
      </c>
      <c r="D4" s="4">
        <v>180.0</v>
      </c>
      <c r="E4" s="29" t="s">
        <v>114</v>
      </c>
      <c r="F4" s="3">
        <v>746.0</v>
      </c>
      <c r="G4" s="29" t="s">
        <v>115</v>
      </c>
      <c r="H4" s="3">
        <v>2250.0</v>
      </c>
      <c r="I4" s="29" t="s">
        <v>116</v>
      </c>
      <c r="J4" s="3">
        <v>100.0</v>
      </c>
      <c r="K4" s="4"/>
      <c r="L4" s="4"/>
      <c r="M4" s="4"/>
    </row>
    <row r="5">
      <c r="A5" s="29" t="s">
        <v>117</v>
      </c>
      <c r="B5" s="4">
        <v>6855.0</v>
      </c>
      <c r="C5" s="4"/>
      <c r="D5" s="4"/>
      <c r="E5" s="29" t="s">
        <v>118</v>
      </c>
      <c r="F5" s="3">
        <v>291.0</v>
      </c>
      <c r="G5" s="29" t="s">
        <v>119</v>
      </c>
      <c r="H5" s="3">
        <v>371.0</v>
      </c>
      <c r="I5" s="29" t="s">
        <v>120</v>
      </c>
      <c r="J5" s="3">
        <v>429.0</v>
      </c>
      <c r="K5" s="4"/>
      <c r="L5" s="4"/>
      <c r="M5" s="4"/>
    </row>
    <row r="6">
      <c r="A6" s="29" t="s">
        <v>121</v>
      </c>
      <c r="B6" s="4">
        <v>5230.0</v>
      </c>
      <c r="C6" s="4"/>
      <c r="D6" s="4"/>
      <c r="E6" s="29" t="s">
        <v>122</v>
      </c>
      <c r="F6" s="3">
        <v>93.0</v>
      </c>
      <c r="G6" s="29" t="s">
        <v>123</v>
      </c>
      <c r="H6" s="3">
        <v>345.0</v>
      </c>
      <c r="K6" s="4"/>
      <c r="L6" s="4"/>
      <c r="M6" s="4"/>
    </row>
    <row r="7">
      <c r="A7" s="29" t="s">
        <v>124</v>
      </c>
      <c r="B7" s="4">
        <v>6375.0</v>
      </c>
      <c r="C7" s="4"/>
      <c r="D7" s="4"/>
      <c r="E7" s="4"/>
      <c r="F7" s="4"/>
      <c r="G7" s="4"/>
      <c r="I7" s="4"/>
      <c r="J7" s="4"/>
      <c r="K7" s="4"/>
      <c r="L7" s="4"/>
      <c r="M7" s="4"/>
    </row>
    <row r="8">
      <c r="A8" s="42" t="s">
        <v>125</v>
      </c>
      <c r="B8" s="3">
        <v>8074.0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>
      <c r="A9" s="29" t="s">
        <v>126</v>
      </c>
      <c r="B9" s="4">
        <v>9618.0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>
      <c r="A10" s="29" t="s">
        <v>127</v>
      </c>
      <c r="B10" s="4">
        <v>9476.0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>
      <c r="A11" s="29" t="s">
        <v>128</v>
      </c>
      <c r="B11" s="3">
        <v>8113.0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>
      <c r="A12" s="42" t="s">
        <v>129</v>
      </c>
      <c r="B12" s="4">
        <v>2912.0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>
      <c r="A13" s="29" t="s">
        <v>130</v>
      </c>
      <c r="B13" s="3">
        <v>1789.0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>
      <c r="A14" s="29" t="s">
        <v>131</v>
      </c>
      <c r="B14" s="3">
        <v>2047.0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>
      <c r="A15" s="29" t="s">
        <v>132</v>
      </c>
      <c r="B15" s="3">
        <v>4456.0</v>
      </c>
      <c r="D15" s="4"/>
      <c r="E15" s="4"/>
      <c r="F15" s="4"/>
      <c r="G15" s="4"/>
      <c r="H15" s="4"/>
      <c r="I15" s="4"/>
      <c r="J15" s="4"/>
      <c r="K15" s="4"/>
      <c r="L15" s="4"/>
      <c r="M15" s="4"/>
    </row>
    <row r="16">
      <c r="A16" s="29" t="s">
        <v>133</v>
      </c>
      <c r="B16" s="3">
        <v>4314.0</v>
      </c>
      <c r="D16" s="4"/>
      <c r="E16" s="4"/>
      <c r="F16" s="4"/>
      <c r="G16" s="4"/>
      <c r="H16" s="4"/>
      <c r="I16" s="4"/>
      <c r="J16" s="4"/>
      <c r="K16" s="4"/>
      <c r="L16" s="4"/>
      <c r="M16" s="4"/>
    </row>
    <row r="17">
      <c r="A17" s="29" t="s">
        <v>134</v>
      </c>
      <c r="B17" s="3">
        <v>3506.0</v>
      </c>
      <c r="F17" s="4"/>
      <c r="G17" s="4"/>
      <c r="H17" s="4"/>
      <c r="I17" s="4"/>
      <c r="J17" s="4"/>
      <c r="K17" s="4"/>
      <c r="L17" s="4"/>
      <c r="M17" s="4"/>
    </row>
    <row r="18">
      <c r="A18" s="29" t="s">
        <v>135</v>
      </c>
      <c r="B18" s="3">
        <v>2951.0</v>
      </c>
      <c r="D18" s="4"/>
      <c r="E18" s="4"/>
      <c r="F18" s="4"/>
      <c r="G18" s="4"/>
      <c r="H18" s="4"/>
      <c r="I18" s="4"/>
      <c r="J18" s="4"/>
      <c r="K18" s="4"/>
      <c r="L18" s="4"/>
      <c r="M18" s="4"/>
    </row>
    <row r="19">
      <c r="A19" s="42" t="s">
        <v>136</v>
      </c>
      <c r="B19" s="3">
        <v>1725.0</v>
      </c>
    </row>
    <row r="20">
      <c r="A20" s="42" t="s">
        <v>137</v>
      </c>
      <c r="B20" s="3">
        <v>600.0</v>
      </c>
    </row>
    <row r="21">
      <c r="A21" s="29" t="s">
        <v>138</v>
      </c>
      <c r="B21" s="3">
        <v>854.0</v>
      </c>
    </row>
    <row r="22">
      <c r="A22" s="29" t="s">
        <v>139</v>
      </c>
      <c r="B22" s="3">
        <v>2319.0</v>
      </c>
    </row>
    <row r="23">
      <c r="A23" s="29" t="s">
        <v>140</v>
      </c>
      <c r="B23" s="3">
        <v>3269.0</v>
      </c>
      <c r="J23" s="4"/>
    </row>
    <row r="24">
      <c r="A24" s="29" t="s">
        <v>141</v>
      </c>
      <c r="B24" s="3">
        <v>3127.0</v>
      </c>
    </row>
    <row r="25">
      <c r="A25" s="29" t="s">
        <v>142</v>
      </c>
      <c r="B25" s="3">
        <v>1764.0</v>
      </c>
    </row>
    <row r="26">
      <c r="A26" s="42" t="s">
        <v>143</v>
      </c>
      <c r="B26" s="3">
        <v>0.0</v>
      </c>
    </row>
    <row r="27">
      <c r="A27" s="29" t="s">
        <v>144</v>
      </c>
      <c r="B27" s="3">
        <v>0.0</v>
      </c>
    </row>
    <row r="28">
      <c r="A28" s="29" t="s">
        <v>145</v>
      </c>
      <c r="B28" s="3">
        <v>594.0</v>
      </c>
    </row>
    <row r="29">
      <c r="A29" s="29" t="s">
        <v>146</v>
      </c>
      <c r="B29" s="3">
        <v>1402.0</v>
      </c>
    </row>
    <row r="30">
      <c r="A30" s="29" t="s">
        <v>147</v>
      </c>
      <c r="B30" s="3">
        <v>1544.0</v>
      </c>
    </row>
    <row r="31">
      <c r="A31" s="29" t="s">
        <v>148</v>
      </c>
      <c r="B31" s="3">
        <v>0.0</v>
      </c>
    </row>
    <row r="32">
      <c r="A32" s="29" t="s">
        <v>149</v>
      </c>
      <c r="B32" s="3">
        <v>0.0</v>
      </c>
    </row>
    <row r="33">
      <c r="A33" s="29" t="s">
        <v>150</v>
      </c>
      <c r="B33" s="3">
        <v>1505.0</v>
      </c>
    </row>
    <row r="34">
      <c r="A34" s="29" t="s">
        <v>151</v>
      </c>
      <c r="B34" s="3">
        <v>1363.0</v>
      </c>
    </row>
    <row r="35">
      <c r="A35" s="29" t="s">
        <v>152</v>
      </c>
      <c r="B35" s="3">
        <v>555.0</v>
      </c>
    </row>
    <row r="36">
      <c r="A36" s="29" t="s">
        <v>153</v>
      </c>
      <c r="B36" s="3">
        <v>1271.0</v>
      </c>
    </row>
    <row r="37">
      <c r="A37" s="29" t="s">
        <v>154</v>
      </c>
      <c r="B37" s="3">
        <v>833.0</v>
      </c>
    </row>
    <row r="38">
      <c r="A38" s="29" t="s">
        <v>155</v>
      </c>
      <c r="B38" s="3">
        <v>1147.0</v>
      </c>
    </row>
    <row r="39">
      <c r="A39" s="29" t="s">
        <v>156</v>
      </c>
      <c r="B39" s="3">
        <v>1358.0</v>
      </c>
    </row>
    <row r="40">
      <c r="A40" s="29" t="s">
        <v>157</v>
      </c>
      <c r="B40" s="3">
        <v>1050.0</v>
      </c>
    </row>
    <row r="41">
      <c r="A41" s="29" t="s">
        <v>158</v>
      </c>
      <c r="B41" s="3">
        <v>866.0</v>
      </c>
    </row>
    <row r="42">
      <c r="A42" s="29" t="s">
        <v>159</v>
      </c>
      <c r="B42" s="3">
        <v>605.0</v>
      </c>
    </row>
    <row r="43">
      <c r="A43" s="29" t="s">
        <v>160</v>
      </c>
      <c r="B43" s="3">
        <v>808.0</v>
      </c>
    </row>
  </sheetData>
  <mergeCells count="5">
    <mergeCell ref="A1:B2"/>
    <mergeCell ref="C1:D2"/>
    <mergeCell ref="E1:F2"/>
    <mergeCell ref="G1:H2"/>
    <mergeCell ref="I1:J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 ht="27.0" customHeight="1">
      <c r="A1" s="43" t="s">
        <v>161</v>
      </c>
      <c r="Q1" s="3" t="s">
        <v>162</v>
      </c>
      <c r="R1" s="3" t="s">
        <v>163</v>
      </c>
    </row>
    <row r="2">
      <c r="B2" s="44" t="s">
        <v>164</v>
      </c>
      <c r="C2" s="44" t="s">
        <v>165</v>
      </c>
      <c r="D2" s="44" t="s">
        <v>166</v>
      </c>
      <c r="E2" s="44" t="s">
        <v>167</v>
      </c>
      <c r="F2" s="44" t="s">
        <v>168</v>
      </c>
      <c r="G2" s="44" t="s">
        <v>169</v>
      </c>
      <c r="H2" s="44" t="s">
        <v>170</v>
      </c>
      <c r="I2" s="44" t="s">
        <v>171</v>
      </c>
      <c r="J2" s="44" t="s">
        <v>172</v>
      </c>
      <c r="K2" s="44" t="s">
        <v>173</v>
      </c>
      <c r="L2" s="44" t="s">
        <v>174</v>
      </c>
      <c r="M2" s="44" t="s">
        <v>175</v>
      </c>
      <c r="Q2" s="3">
        <v>0.3</v>
      </c>
      <c r="R2" s="3">
        <v>0.575</v>
      </c>
    </row>
    <row r="3">
      <c r="A3" s="45" t="s">
        <v>176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6" t="s">
        <v>177</v>
      </c>
      <c r="O3" s="3" t="s">
        <v>178</v>
      </c>
      <c r="Q3" s="3">
        <v>0.14</v>
      </c>
      <c r="R3" s="3">
        <v>0.95</v>
      </c>
    </row>
    <row r="4">
      <c r="A4" s="12" t="s">
        <v>16</v>
      </c>
      <c r="B4" s="47">
        <v>3160.4299999999994</v>
      </c>
      <c r="C4" s="47">
        <v>5461.119999999999</v>
      </c>
      <c r="D4" s="47">
        <v>5432.74375</v>
      </c>
      <c r="E4" s="47">
        <v>4302.3225</v>
      </c>
      <c r="F4" s="47">
        <v>5114.768749999999</v>
      </c>
      <c r="G4" s="47">
        <v>5071.298749999999</v>
      </c>
      <c r="H4" s="47">
        <v>4125.222499999999</v>
      </c>
      <c r="I4" s="47">
        <v>5022.596249999999</v>
      </c>
      <c r="J4" s="47">
        <v>5120.80625</v>
      </c>
      <c r="K4" s="47">
        <v>7138.538749999999</v>
      </c>
      <c r="L4" s="47">
        <v>4969.4662499999995</v>
      </c>
      <c r="M4" s="47">
        <v>4946.322499999999</v>
      </c>
      <c r="N4" s="48">
        <f t="shared" ref="N4:N6" si="1">SUM(B4:M4)</f>
        <v>59865.63625</v>
      </c>
      <c r="O4" s="6">
        <f t="shared" ref="O4:O32" si="2">N4/52</f>
        <v>1151.262236</v>
      </c>
      <c r="Q4" s="3">
        <v>0.25</v>
      </c>
      <c r="R4" s="3">
        <v>0.85</v>
      </c>
    </row>
    <row r="5">
      <c r="A5" s="14" t="s">
        <v>18</v>
      </c>
      <c r="B5" s="49">
        <v>9705.884999999998</v>
      </c>
      <c r="C5" s="49">
        <v>8924.431249999998</v>
      </c>
      <c r="D5" s="49">
        <v>10339.621249999998</v>
      </c>
      <c r="E5" s="49">
        <v>10098.926249999999</v>
      </c>
      <c r="F5" s="49">
        <v>10708.512499999999</v>
      </c>
      <c r="G5" s="49">
        <v>9473.642499999998</v>
      </c>
      <c r="H5" s="49">
        <v>10335.394999999999</v>
      </c>
      <c r="I5" s="49">
        <v>10211.223749999997</v>
      </c>
      <c r="J5" s="49">
        <v>9006.742499999998</v>
      </c>
      <c r="K5" s="49">
        <v>9085.23</v>
      </c>
      <c r="L5" s="49">
        <v>8976.756249999999</v>
      </c>
      <c r="M5" s="49">
        <v>9151.038749999998</v>
      </c>
      <c r="N5" s="48">
        <f t="shared" si="1"/>
        <v>116017.405</v>
      </c>
      <c r="O5" s="6">
        <f t="shared" si="2"/>
        <v>2231.103942</v>
      </c>
      <c r="R5" s="3">
        <v>0.7</v>
      </c>
    </row>
    <row r="6">
      <c r="A6" s="14" t="s">
        <v>20</v>
      </c>
      <c r="B6" s="50">
        <v>76533.36249999999</v>
      </c>
      <c r="C6" s="51">
        <v>72060.78249999999</v>
      </c>
      <c r="D6" s="50">
        <v>77133.69124999999</v>
      </c>
      <c r="E6" s="51">
        <v>78112.16875</v>
      </c>
      <c r="F6" s="50">
        <v>77266.51624999999</v>
      </c>
      <c r="G6" s="51">
        <v>70167.22124999999</v>
      </c>
      <c r="H6" s="50">
        <v>84798.49874999998</v>
      </c>
      <c r="I6" s="51">
        <v>84109.82124999998</v>
      </c>
      <c r="J6" s="50">
        <v>73501.12874999999</v>
      </c>
      <c r="K6" s="51">
        <v>74618.87125</v>
      </c>
      <c r="L6" s="50">
        <v>77284.22624999999</v>
      </c>
      <c r="M6" s="51">
        <v>66749.19125</v>
      </c>
      <c r="N6" s="48">
        <f t="shared" si="1"/>
        <v>912335.48</v>
      </c>
      <c r="O6" s="6">
        <f t="shared" si="2"/>
        <v>17544.91308</v>
      </c>
    </row>
    <row r="7">
      <c r="B7" s="6">
        <v>0.0</v>
      </c>
      <c r="C7" s="6">
        <v>0.0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6">
        <v>0.0</v>
      </c>
      <c r="K7" s="6">
        <v>0.0</v>
      </c>
      <c r="L7" s="6">
        <v>0.0</v>
      </c>
      <c r="M7" s="6">
        <v>0.0</v>
      </c>
      <c r="O7" s="6">
        <f t="shared" si="2"/>
        <v>0</v>
      </c>
    </row>
    <row r="8">
      <c r="A8" s="45" t="s">
        <v>179</v>
      </c>
      <c r="B8" s="6">
        <v>0.0</v>
      </c>
      <c r="C8" s="6">
        <v>0.0</v>
      </c>
      <c r="D8" s="6">
        <v>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6">
        <v>0.0</v>
      </c>
      <c r="K8" s="6">
        <v>0.0</v>
      </c>
      <c r="L8" s="6">
        <v>0.0</v>
      </c>
      <c r="M8" s="6">
        <v>0.0</v>
      </c>
      <c r="O8" s="6">
        <f t="shared" si="2"/>
        <v>0</v>
      </c>
    </row>
    <row r="9">
      <c r="A9" s="15" t="s">
        <v>22</v>
      </c>
      <c r="B9" s="52">
        <v>5567.178749999999</v>
      </c>
      <c r="C9" s="52">
        <v>2692.5237499999994</v>
      </c>
      <c r="D9" s="52">
        <v>4699.791249999999</v>
      </c>
      <c r="E9" s="52">
        <v>4262.273749999999</v>
      </c>
      <c r="F9" s="52">
        <v>4262.273749999999</v>
      </c>
      <c r="G9" s="52">
        <v>4469.15875</v>
      </c>
      <c r="H9" s="52">
        <v>9058.86625</v>
      </c>
      <c r="I9" s="52">
        <v>6836.4625</v>
      </c>
      <c r="J9" s="52">
        <v>6562.158749999999</v>
      </c>
      <c r="K9" s="52">
        <v>7935.4887499999995</v>
      </c>
      <c r="L9" s="52">
        <v>5008.911249999999</v>
      </c>
      <c r="M9" s="52">
        <v>5191.444999999999</v>
      </c>
      <c r="N9" s="53">
        <f t="shared" ref="N9:N13" si="3">SUM(B9:M9)</f>
        <v>66546.5325</v>
      </c>
      <c r="O9" s="6">
        <f t="shared" si="2"/>
        <v>1279.74101</v>
      </c>
    </row>
    <row r="10">
      <c r="A10" s="2" t="s">
        <v>24</v>
      </c>
      <c r="B10" s="6">
        <v>37495.088749999995</v>
      </c>
      <c r="C10" s="6">
        <v>33151.71124999999</v>
      </c>
      <c r="D10" s="6">
        <v>38169.276249999995</v>
      </c>
      <c r="E10" s="6">
        <v>39489.6775</v>
      </c>
      <c r="F10" s="6">
        <v>37103.05374999999</v>
      </c>
      <c r="G10" s="6">
        <v>32642.548749999998</v>
      </c>
      <c r="H10" s="6">
        <v>42450.26624999999</v>
      </c>
      <c r="I10" s="6">
        <v>37760.33624999999</v>
      </c>
      <c r="J10" s="6">
        <v>33369.26249999999</v>
      </c>
      <c r="K10" s="6">
        <v>37436.524999999994</v>
      </c>
      <c r="L10" s="6">
        <v>34861.93375</v>
      </c>
      <c r="M10" s="6">
        <v>33242.072499999995</v>
      </c>
      <c r="N10" s="48">
        <f t="shared" si="3"/>
        <v>437171.7525</v>
      </c>
      <c r="O10" s="6">
        <f t="shared" si="2"/>
        <v>8407.149087</v>
      </c>
    </row>
    <row r="11">
      <c r="A11" s="2" t="s">
        <v>26</v>
      </c>
      <c r="B11" s="47">
        <v>2590.49</v>
      </c>
      <c r="C11" s="47">
        <v>2122.58375</v>
      </c>
      <c r="D11" s="47">
        <v>1229.6374999999998</v>
      </c>
      <c r="E11" s="47">
        <v>2138.0799999999995</v>
      </c>
      <c r="F11" s="47">
        <v>2490.0662499999994</v>
      </c>
      <c r="G11" s="47">
        <v>2048.3224999999998</v>
      </c>
      <c r="H11" s="47">
        <v>2042.6874999999998</v>
      </c>
      <c r="I11" s="47">
        <v>3138.89625</v>
      </c>
      <c r="J11" s="47">
        <v>2570.365</v>
      </c>
      <c r="K11" s="47">
        <v>2642.0099999999993</v>
      </c>
      <c r="L11" s="47">
        <v>2612.6274999999996</v>
      </c>
      <c r="M11" s="47">
        <v>1778.0437499999998</v>
      </c>
      <c r="N11" s="48">
        <f t="shared" si="3"/>
        <v>27403.81</v>
      </c>
      <c r="O11" s="6">
        <f t="shared" si="2"/>
        <v>526.9963462</v>
      </c>
    </row>
    <row r="12">
      <c r="A12" s="2" t="s">
        <v>28</v>
      </c>
      <c r="B12" s="6">
        <v>7519.706249999999</v>
      </c>
      <c r="C12" s="6">
        <v>8738.274999999998</v>
      </c>
      <c r="D12" s="6">
        <v>8474.838749999999</v>
      </c>
      <c r="E12" s="6">
        <v>6102.101249999999</v>
      </c>
      <c r="F12" s="6">
        <v>6903.8812499999985</v>
      </c>
      <c r="G12" s="6">
        <v>6442.213749999999</v>
      </c>
      <c r="H12" s="54">
        <v>9687.571249999999</v>
      </c>
      <c r="I12" s="6">
        <v>7719.95</v>
      </c>
      <c r="J12" s="6">
        <v>6864.234999999999</v>
      </c>
      <c r="K12" s="6">
        <v>10167.753749999998</v>
      </c>
      <c r="L12" s="6">
        <v>8699.433749999998</v>
      </c>
      <c r="M12" s="6">
        <v>4378.7975</v>
      </c>
      <c r="N12" s="48">
        <f t="shared" si="3"/>
        <v>91698.7575</v>
      </c>
      <c r="O12" s="6">
        <f t="shared" si="2"/>
        <v>1763.437644</v>
      </c>
    </row>
    <row r="13">
      <c r="A13" s="2" t="s">
        <v>30</v>
      </c>
      <c r="B13" s="6">
        <v>10811.15</v>
      </c>
      <c r="C13" s="6">
        <v>10059.682499999999</v>
      </c>
      <c r="D13" s="6">
        <v>11044.801249999999</v>
      </c>
      <c r="E13" s="6">
        <v>12420.546249999998</v>
      </c>
      <c r="F13" s="6">
        <v>8709.697499999998</v>
      </c>
      <c r="G13" s="6">
        <v>11201.373749999997</v>
      </c>
      <c r="H13" s="6">
        <v>7591.351249999999</v>
      </c>
      <c r="I13" s="6">
        <v>6968.884999999999</v>
      </c>
      <c r="J13" s="6">
        <v>5711.273749999999</v>
      </c>
      <c r="K13" s="6">
        <v>9826.43375</v>
      </c>
      <c r="L13" s="6">
        <v>10075.983749999998</v>
      </c>
      <c r="M13" s="6">
        <v>13074.20625</v>
      </c>
      <c r="N13" s="48">
        <f t="shared" si="3"/>
        <v>117495.385</v>
      </c>
      <c r="O13" s="6">
        <f t="shared" si="2"/>
        <v>2259.526635</v>
      </c>
    </row>
    <row r="14">
      <c r="A14" s="48"/>
      <c r="B14" s="6">
        <v>0.0</v>
      </c>
      <c r="C14" s="6">
        <v>0.0</v>
      </c>
      <c r="D14" s="6">
        <v>0.0</v>
      </c>
      <c r="E14" s="6">
        <v>0.0</v>
      </c>
      <c r="F14" s="6">
        <v>0.0</v>
      </c>
      <c r="G14" s="6">
        <v>0.0</v>
      </c>
      <c r="H14" s="6">
        <v>0.0</v>
      </c>
      <c r="I14" s="6">
        <v>0.0</v>
      </c>
      <c r="J14" s="6">
        <v>0.0</v>
      </c>
      <c r="K14" s="6">
        <v>0.0</v>
      </c>
      <c r="L14" s="6">
        <v>0.0</v>
      </c>
      <c r="M14" s="6">
        <v>0.0</v>
      </c>
      <c r="O14" s="6">
        <f t="shared" si="2"/>
        <v>0</v>
      </c>
    </row>
    <row r="15">
      <c r="A15" s="45" t="s">
        <v>180</v>
      </c>
      <c r="B15" s="6">
        <v>0.0</v>
      </c>
      <c r="C15" s="6">
        <v>0.0</v>
      </c>
      <c r="D15" s="6">
        <v>0.0</v>
      </c>
      <c r="E15" s="6">
        <v>0.0</v>
      </c>
      <c r="F15" s="6">
        <v>0.0</v>
      </c>
      <c r="G15" s="6">
        <v>0.0</v>
      </c>
      <c r="H15" s="6">
        <v>0.0</v>
      </c>
      <c r="I15" s="6">
        <v>0.0</v>
      </c>
      <c r="J15" s="6">
        <v>0.0</v>
      </c>
      <c r="K15" s="6">
        <v>0.0</v>
      </c>
      <c r="L15" s="6">
        <v>0.0</v>
      </c>
      <c r="M15" s="6">
        <v>0.0</v>
      </c>
      <c r="N15" s="2"/>
      <c r="O15" s="6">
        <f t="shared" si="2"/>
        <v>0</v>
      </c>
    </row>
    <row r="16">
      <c r="A16" s="15" t="s">
        <v>53</v>
      </c>
      <c r="B16" s="52">
        <v>1341.6666666666667</v>
      </c>
      <c r="C16" s="52">
        <v>1341.6666666666667</v>
      </c>
      <c r="D16" s="52">
        <v>1341.6666666666667</v>
      </c>
      <c r="E16" s="52">
        <v>1341.6666666666667</v>
      </c>
      <c r="F16" s="52">
        <v>1341.6666666666667</v>
      </c>
      <c r="G16" s="52">
        <v>1341.6666666666667</v>
      </c>
      <c r="H16" s="52">
        <v>1341.6666666666667</v>
      </c>
      <c r="I16" s="52">
        <v>1341.6666666666667</v>
      </c>
      <c r="J16" s="52">
        <v>1341.6666666666667</v>
      </c>
      <c r="K16" s="52">
        <v>1341.6666666666667</v>
      </c>
      <c r="L16" s="52">
        <v>1341.6666666666667</v>
      </c>
      <c r="M16" s="52">
        <v>1341.6666666666667</v>
      </c>
      <c r="N16" s="53">
        <f t="shared" ref="N16:N19" si="4">SUM(B16:M16)</f>
        <v>16100</v>
      </c>
      <c r="O16" s="52">
        <f t="shared" si="2"/>
        <v>309.6153846</v>
      </c>
    </row>
    <row r="17">
      <c r="A17" s="15" t="s">
        <v>33</v>
      </c>
      <c r="B17" s="52">
        <v>20778.659999999996</v>
      </c>
      <c r="C17" s="52">
        <v>23233.306249999998</v>
      </c>
      <c r="D17" s="52">
        <v>23398.532499999998</v>
      </c>
      <c r="E17" s="52">
        <v>21215.774999999998</v>
      </c>
      <c r="F17" s="52">
        <v>22188.214999999997</v>
      </c>
      <c r="G17" s="52">
        <v>19723.305</v>
      </c>
      <c r="H17" s="52">
        <v>21607.20625</v>
      </c>
      <c r="I17" s="52">
        <v>22924.387499999997</v>
      </c>
      <c r="J17" s="52">
        <v>20744.648749999997</v>
      </c>
      <c r="K17" s="52">
        <v>20569.96375</v>
      </c>
      <c r="L17" s="52">
        <v>19361.658749999995</v>
      </c>
      <c r="M17" s="52">
        <v>20143.917499999996</v>
      </c>
      <c r="N17" s="53">
        <f t="shared" si="4"/>
        <v>255889.5763</v>
      </c>
      <c r="O17" s="6">
        <f t="shared" si="2"/>
        <v>4920.953389</v>
      </c>
    </row>
    <row r="18">
      <c r="A18" s="2" t="s">
        <v>34</v>
      </c>
      <c r="B18" s="6">
        <v>42065.87874999999</v>
      </c>
      <c r="C18" s="6">
        <v>48131.15124999999</v>
      </c>
      <c r="D18" s="6">
        <v>54837.002499999995</v>
      </c>
      <c r="E18" s="6">
        <v>51449.15999999998</v>
      </c>
      <c r="F18" s="6">
        <v>48879.80124999999</v>
      </c>
      <c r="G18" s="6">
        <v>39599.761249999996</v>
      </c>
      <c r="H18" s="6">
        <v>48955.471249999995</v>
      </c>
      <c r="I18" s="6">
        <v>53776.81749999999</v>
      </c>
      <c r="J18" s="6">
        <v>48872.757499999985</v>
      </c>
      <c r="K18" s="6">
        <v>44811.331249999996</v>
      </c>
      <c r="L18" s="6">
        <v>45459.15499999999</v>
      </c>
      <c r="M18" s="6">
        <v>45255.28874999999</v>
      </c>
      <c r="N18" s="48">
        <f t="shared" si="4"/>
        <v>572093.5763</v>
      </c>
      <c r="O18" s="6">
        <f t="shared" si="2"/>
        <v>11001.79954</v>
      </c>
    </row>
    <row r="19">
      <c r="A19" s="14" t="s">
        <v>35</v>
      </c>
      <c r="B19" s="55">
        <v>25747.12</v>
      </c>
      <c r="C19" s="55">
        <v>23830.616249999995</v>
      </c>
      <c r="D19" s="56">
        <v>28887.626249999998</v>
      </c>
      <c r="E19" s="56">
        <v>27893.652499999997</v>
      </c>
      <c r="F19" s="56">
        <v>27578.293749999997</v>
      </c>
      <c r="G19" s="56">
        <v>23068.683749999997</v>
      </c>
      <c r="H19" s="56">
        <v>26261.917499999996</v>
      </c>
      <c r="I19" s="56">
        <v>28757.61875</v>
      </c>
      <c r="J19" s="56">
        <v>26373.61124999999</v>
      </c>
      <c r="K19" s="56">
        <v>25288.672499999997</v>
      </c>
      <c r="L19" s="56">
        <v>24816.741249999995</v>
      </c>
      <c r="M19" s="56">
        <v>26117.822499999995</v>
      </c>
      <c r="N19" s="48">
        <f t="shared" si="4"/>
        <v>314622.3763</v>
      </c>
      <c r="O19" s="6">
        <f t="shared" si="2"/>
        <v>6050.430313</v>
      </c>
    </row>
    <row r="20">
      <c r="A20" s="57"/>
      <c r="B20" s="6">
        <v>0.0</v>
      </c>
      <c r="C20" s="6">
        <v>0.0</v>
      </c>
      <c r="D20" s="6">
        <v>0.0</v>
      </c>
      <c r="E20" s="6">
        <v>0.0</v>
      </c>
      <c r="F20" s="6">
        <v>0.0</v>
      </c>
      <c r="G20" s="6">
        <v>0.0</v>
      </c>
      <c r="H20" s="6">
        <v>0.0</v>
      </c>
      <c r="I20" s="6">
        <v>0.0</v>
      </c>
      <c r="J20" s="6">
        <v>0.0</v>
      </c>
      <c r="K20" s="6">
        <v>0.0</v>
      </c>
      <c r="L20" s="6">
        <v>0.0</v>
      </c>
      <c r="M20" s="6">
        <v>0.0</v>
      </c>
      <c r="O20" s="6">
        <f t="shared" si="2"/>
        <v>0</v>
      </c>
    </row>
    <row r="21">
      <c r="A21" s="45" t="s">
        <v>181</v>
      </c>
      <c r="O21" s="6">
        <f t="shared" si="2"/>
        <v>0</v>
      </c>
    </row>
    <row r="22">
      <c r="A22" s="2" t="s">
        <v>38</v>
      </c>
      <c r="B22" s="47">
        <f t="shared" ref="B22:M22" si="5">36000/12*0.95</f>
        <v>2850</v>
      </c>
      <c r="C22" s="47">
        <f t="shared" si="5"/>
        <v>2850</v>
      </c>
      <c r="D22" s="47">
        <f t="shared" si="5"/>
        <v>2850</v>
      </c>
      <c r="E22" s="47">
        <f t="shared" si="5"/>
        <v>2850</v>
      </c>
      <c r="F22" s="47">
        <f t="shared" si="5"/>
        <v>2850</v>
      </c>
      <c r="G22" s="47">
        <f t="shared" si="5"/>
        <v>2850</v>
      </c>
      <c r="H22" s="47">
        <f t="shared" si="5"/>
        <v>2850</v>
      </c>
      <c r="I22" s="47">
        <f t="shared" si="5"/>
        <v>2850</v>
      </c>
      <c r="J22" s="47">
        <f t="shared" si="5"/>
        <v>2850</v>
      </c>
      <c r="K22" s="47">
        <f t="shared" si="5"/>
        <v>2850</v>
      </c>
      <c r="L22" s="47">
        <f t="shared" si="5"/>
        <v>2850</v>
      </c>
      <c r="M22" s="47">
        <f t="shared" si="5"/>
        <v>2850</v>
      </c>
      <c r="N22" s="2">
        <v>36000.0</v>
      </c>
      <c r="O22" s="6">
        <f t="shared" si="2"/>
        <v>692.3076923</v>
      </c>
    </row>
    <row r="23">
      <c r="A23" s="2" t="s">
        <v>39</v>
      </c>
      <c r="B23" s="47">
        <v>9994.215</v>
      </c>
      <c r="C23" s="47">
        <v>10844.232000000002</v>
      </c>
      <c r="D23" s="47">
        <v>10954.545</v>
      </c>
      <c r="E23" s="47">
        <v>11461.842</v>
      </c>
      <c r="F23" s="47">
        <v>15063.377000000002</v>
      </c>
      <c r="G23" s="47">
        <v>12982.305</v>
      </c>
      <c r="H23" s="47">
        <v>12396.230000000001</v>
      </c>
      <c r="I23" s="47">
        <v>12491.311000000002</v>
      </c>
      <c r="J23" s="47">
        <v>11727.45</v>
      </c>
      <c r="K23" s="47">
        <v>11413.766</v>
      </c>
      <c r="L23" s="47">
        <v>11234.076000000001</v>
      </c>
      <c r="M23" s="47">
        <v>10275.174</v>
      </c>
      <c r="N23" s="48">
        <f t="shared" ref="N23:N32" si="6">SUM(B23:M23)</f>
        <v>140838.523</v>
      </c>
      <c r="O23" s="6">
        <f t="shared" si="2"/>
        <v>2708.433135</v>
      </c>
    </row>
    <row r="24">
      <c r="A24" s="2" t="s">
        <v>40</v>
      </c>
      <c r="B24" s="47">
        <v>3200.974</v>
      </c>
      <c r="C24" s="47">
        <v>4937.534000000001</v>
      </c>
      <c r="D24" s="47">
        <v>5039.356000000001</v>
      </c>
      <c r="E24" s="47">
        <v>3305.7360000000003</v>
      </c>
      <c r="F24" s="47">
        <v>4493.398</v>
      </c>
      <c r="G24" s="47">
        <v>3599.638</v>
      </c>
      <c r="H24" s="47">
        <v>5293.078</v>
      </c>
      <c r="I24" s="47">
        <v>4367.076</v>
      </c>
      <c r="J24" s="47">
        <v>7197.904</v>
      </c>
      <c r="K24" s="47">
        <v>4833.066000000001</v>
      </c>
      <c r="L24" s="47">
        <v>4094.538</v>
      </c>
      <c r="M24" s="47">
        <v>7411.544000000001</v>
      </c>
      <c r="N24" s="48">
        <f t="shared" si="6"/>
        <v>57773.842</v>
      </c>
      <c r="O24" s="6">
        <f t="shared" si="2"/>
        <v>1111.035423</v>
      </c>
    </row>
    <row r="25">
      <c r="A25" s="2" t="s">
        <v>41</v>
      </c>
      <c r="B25" s="47">
        <v>3842.972</v>
      </c>
      <c r="C25" s="47">
        <v>2857.092</v>
      </c>
      <c r="D25" s="47">
        <v>3732.1340000000005</v>
      </c>
      <c r="E25" s="47">
        <v>3582.684</v>
      </c>
      <c r="F25" s="47">
        <v>3209.304</v>
      </c>
      <c r="G25" s="47">
        <v>2159.626</v>
      </c>
      <c r="H25" s="47">
        <v>5182.6320000000005</v>
      </c>
      <c r="I25" s="47">
        <v>2899.6240000000003</v>
      </c>
      <c r="J25" s="47">
        <v>5169.892</v>
      </c>
      <c r="K25" s="47">
        <v>4057.298</v>
      </c>
      <c r="L25" s="47">
        <v>3680.9780000000005</v>
      </c>
      <c r="M25" s="47">
        <v>4013.8840000000005</v>
      </c>
      <c r="N25" s="48">
        <f t="shared" si="6"/>
        <v>44388.12</v>
      </c>
      <c r="O25" s="6">
        <f t="shared" si="2"/>
        <v>853.6176923</v>
      </c>
    </row>
    <row r="26">
      <c r="A26" s="2" t="s">
        <v>42</v>
      </c>
      <c r="B26" s="47">
        <v>2314.5640000000003</v>
      </c>
      <c r="C26" s="47">
        <v>3887.17</v>
      </c>
      <c r="D26" s="47">
        <v>2928.73</v>
      </c>
      <c r="E26" s="47">
        <v>2358.2720000000004</v>
      </c>
      <c r="F26" s="47">
        <v>1979.894</v>
      </c>
      <c r="G26" s="47">
        <v>3008.894</v>
      </c>
      <c r="H26" s="47">
        <v>3729.88</v>
      </c>
      <c r="I26" s="47">
        <v>3833.6620000000003</v>
      </c>
      <c r="J26" s="47">
        <v>2710.974</v>
      </c>
      <c r="K26" s="47">
        <v>1614.844</v>
      </c>
      <c r="L26" s="47">
        <v>3064.95</v>
      </c>
      <c r="M26" s="47">
        <v>3391.5840000000003</v>
      </c>
      <c r="N26" s="48">
        <f t="shared" si="6"/>
        <v>34823.418</v>
      </c>
      <c r="O26" s="6">
        <f t="shared" si="2"/>
        <v>669.6811154</v>
      </c>
    </row>
    <row r="27">
      <c r="A27" s="45" t="s">
        <v>182</v>
      </c>
      <c r="N27" s="48">
        <f t="shared" si="6"/>
        <v>0</v>
      </c>
      <c r="O27" s="6">
        <f t="shared" si="2"/>
        <v>0</v>
      </c>
    </row>
    <row r="28">
      <c r="A28" s="3" t="s">
        <v>183</v>
      </c>
      <c r="B28" s="3">
        <f t="shared" ref="B28:M28" si="7">450833*0.25</f>
        <v>112708.25</v>
      </c>
      <c r="C28" s="3">
        <f t="shared" si="7"/>
        <v>112708.25</v>
      </c>
      <c r="D28" s="3">
        <f t="shared" si="7"/>
        <v>112708.25</v>
      </c>
      <c r="E28" s="3">
        <f t="shared" si="7"/>
        <v>112708.25</v>
      </c>
      <c r="F28" s="3">
        <f t="shared" si="7"/>
        <v>112708.25</v>
      </c>
      <c r="G28" s="3">
        <f t="shared" si="7"/>
        <v>112708.25</v>
      </c>
      <c r="H28" s="3">
        <f t="shared" si="7"/>
        <v>112708.25</v>
      </c>
      <c r="I28" s="3">
        <f t="shared" si="7"/>
        <v>112708.25</v>
      </c>
      <c r="J28" s="3">
        <f t="shared" si="7"/>
        <v>112708.25</v>
      </c>
      <c r="K28" s="3">
        <f t="shared" si="7"/>
        <v>112708.25</v>
      </c>
      <c r="L28" s="3">
        <f t="shared" si="7"/>
        <v>112708.25</v>
      </c>
      <c r="M28" s="3">
        <f t="shared" si="7"/>
        <v>112708.25</v>
      </c>
      <c r="N28" s="48">
        <f t="shared" si="6"/>
        <v>1352499</v>
      </c>
      <c r="O28" s="6">
        <f t="shared" si="2"/>
        <v>26009.59615</v>
      </c>
    </row>
    <row r="29">
      <c r="A29" s="3" t="s">
        <v>45</v>
      </c>
      <c r="B29" s="58">
        <v>19814.06</v>
      </c>
      <c r="C29" s="58">
        <v>19814.06</v>
      </c>
      <c r="D29" s="58">
        <v>19814.06</v>
      </c>
      <c r="E29" s="58">
        <v>19814.06</v>
      </c>
      <c r="F29" s="58">
        <v>19814.06</v>
      </c>
      <c r="G29" s="58">
        <v>19814.06</v>
      </c>
      <c r="H29" s="58">
        <v>19814.06</v>
      </c>
      <c r="I29" s="58">
        <v>19814.06</v>
      </c>
      <c r="J29" s="58">
        <v>19814.06</v>
      </c>
      <c r="K29" s="58">
        <v>19814.06</v>
      </c>
      <c r="L29" s="58">
        <v>19814.06</v>
      </c>
      <c r="M29" s="58">
        <v>19814.06</v>
      </c>
      <c r="N29" s="48">
        <f t="shared" si="6"/>
        <v>237768.72</v>
      </c>
      <c r="O29" s="6">
        <f t="shared" si="2"/>
        <v>4572.475385</v>
      </c>
    </row>
    <row r="30">
      <c r="A30" s="3" t="s">
        <v>184</v>
      </c>
      <c r="B30" s="6">
        <v>139403.80416666664</v>
      </c>
      <c r="C30" s="6">
        <v>139403.80416666664</v>
      </c>
      <c r="D30" s="6">
        <v>139403.80416666664</v>
      </c>
      <c r="E30" s="6">
        <v>139403.80416666664</v>
      </c>
      <c r="F30" s="6">
        <v>139403.80416666664</v>
      </c>
      <c r="G30" s="6">
        <v>139403.80416666664</v>
      </c>
      <c r="H30" s="6">
        <v>139403.80416666664</v>
      </c>
      <c r="I30" s="6">
        <v>139403.80416666664</v>
      </c>
      <c r="J30" s="6">
        <v>139403.80416666664</v>
      </c>
      <c r="K30" s="6">
        <v>139403.80416666664</v>
      </c>
      <c r="L30" s="6">
        <v>139403.80416666664</v>
      </c>
      <c r="M30" s="6">
        <v>139403.80416666664</v>
      </c>
      <c r="N30" s="48">
        <f t="shared" si="6"/>
        <v>1672845.65</v>
      </c>
      <c r="O30" s="6">
        <f t="shared" si="2"/>
        <v>32170.10865</v>
      </c>
    </row>
    <row r="31">
      <c r="A31" s="3" t="s">
        <v>46</v>
      </c>
      <c r="B31" s="6">
        <f t="shared" ref="B31:M31" si="8">160000/12*0.14</f>
        <v>1866.666667</v>
      </c>
      <c r="C31" s="6">
        <f t="shared" si="8"/>
        <v>1866.666667</v>
      </c>
      <c r="D31" s="6">
        <f t="shared" si="8"/>
        <v>1866.666667</v>
      </c>
      <c r="E31" s="6">
        <f t="shared" si="8"/>
        <v>1866.666667</v>
      </c>
      <c r="F31" s="6">
        <f t="shared" si="8"/>
        <v>1866.666667</v>
      </c>
      <c r="G31" s="6">
        <f t="shared" si="8"/>
        <v>1866.666667</v>
      </c>
      <c r="H31" s="6">
        <f t="shared" si="8"/>
        <v>1866.666667</v>
      </c>
      <c r="I31" s="6">
        <f t="shared" si="8"/>
        <v>1866.666667</v>
      </c>
      <c r="J31" s="6">
        <f t="shared" si="8"/>
        <v>1866.666667</v>
      </c>
      <c r="K31" s="6">
        <f t="shared" si="8"/>
        <v>1866.666667</v>
      </c>
      <c r="L31" s="6">
        <f t="shared" si="8"/>
        <v>1866.666667</v>
      </c>
      <c r="M31" s="6">
        <f t="shared" si="8"/>
        <v>1866.666667</v>
      </c>
      <c r="N31" s="48">
        <f t="shared" si="6"/>
        <v>22400</v>
      </c>
      <c r="O31" s="6">
        <f t="shared" si="2"/>
        <v>430.7692308</v>
      </c>
    </row>
    <row r="32">
      <c r="A32" s="3" t="s">
        <v>185</v>
      </c>
      <c r="B32" s="6">
        <v>7350.000000000001</v>
      </c>
      <c r="C32" s="6">
        <v>7350.000000000001</v>
      </c>
      <c r="D32" s="6">
        <v>7350.0</v>
      </c>
      <c r="E32" s="6">
        <v>7350.0</v>
      </c>
      <c r="F32" s="6">
        <v>7350.0</v>
      </c>
      <c r="G32" s="6">
        <v>7350.0</v>
      </c>
      <c r="H32" s="6">
        <v>7350.0</v>
      </c>
      <c r="I32" s="6">
        <v>7350.0</v>
      </c>
      <c r="J32" s="6">
        <v>7350.0</v>
      </c>
      <c r="K32" s="6">
        <v>7350.0</v>
      </c>
      <c r="L32" s="6">
        <v>7350.0</v>
      </c>
      <c r="M32" s="6">
        <v>7350.0</v>
      </c>
      <c r="N32" s="48">
        <f t="shared" si="6"/>
        <v>88200</v>
      </c>
      <c r="O32" s="6">
        <f t="shared" si="2"/>
        <v>1696.153846</v>
      </c>
    </row>
    <row r="40">
      <c r="N40" s="23"/>
    </row>
    <row r="41">
      <c r="N41" s="47"/>
    </row>
  </sheetData>
  <mergeCells count="1">
    <mergeCell ref="A1:O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0000"/>
    <outlinePr summaryBelow="0" summaryRight="0"/>
  </sheetPr>
  <sheetViews>
    <sheetView workbookViewId="0"/>
  </sheetViews>
  <sheetFormatPr customHeight="1" defaultColWidth="14.43" defaultRowHeight="15.0"/>
  <cols>
    <col customWidth="1" min="1" max="1" width="16.29"/>
    <col customWidth="1" min="3" max="3" width="17.29"/>
  </cols>
  <sheetData>
    <row r="1">
      <c r="A1" s="59" t="s">
        <v>186</v>
      </c>
    </row>
    <row r="2">
      <c r="A2" s="3" t="s">
        <v>187</v>
      </c>
      <c r="B2" s="3">
        <v>7.7E7</v>
      </c>
    </row>
    <row r="3">
      <c r="A3" s="3" t="s">
        <v>188</v>
      </c>
      <c r="B3" s="3">
        <v>410000.0</v>
      </c>
    </row>
    <row r="4">
      <c r="A4" s="3" t="s">
        <v>189</v>
      </c>
      <c r="B4" s="6">
        <f>B2/B3</f>
        <v>187.804878</v>
      </c>
      <c r="C4" s="3" t="s">
        <v>190</v>
      </c>
    </row>
    <row r="6">
      <c r="A6" s="60" t="s">
        <v>191</v>
      </c>
    </row>
    <row r="7">
      <c r="A7" s="3" t="s">
        <v>192</v>
      </c>
      <c r="B7" s="6">
        <f>187.8*0.75</f>
        <v>140.85</v>
      </c>
      <c r="C7" s="3" t="s">
        <v>193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2026-02-01T10:44:00Z</dcterms:created>
</cp:coreProperties>
</file>